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kaičiuoklė 2019" sheetId="7" r:id="rId1"/>
    <sheet name="2019m. " sheetId="9" r:id="rId2"/>
    <sheet name="Finansavimas" sheetId="3" r:id="rId3"/>
    <sheet name="SKAIČIUOKLĖ 2018" sheetId="6" r:id="rId4"/>
    <sheet name="2018m." sheetId="4" r:id="rId5"/>
  </sheets>
  <calcPr calcId="181029"/>
</workbook>
</file>

<file path=xl/calcChain.xml><?xml version="1.0" encoding="utf-8"?>
<calcChain xmlns="http://schemas.openxmlformats.org/spreadsheetml/2006/main">
  <c r="O6" i="7" l="1"/>
  <c r="O7" i="7"/>
  <c r="O8" i="7"/>
  <c r="O9" i="7"/>
  <c r="O10" i="7"/>
  <c r="O11" i="7"/>
  <c r="O12" i="7"/>
  <c r="O5" i="7"/>
  <c r="M4" i="7"/>
  <c r="L4" i="7" l="1"/>
  <c r="M19" i="7"/>
  <c r="K16" i="9" l="1"/>
  <c r="J16" i="9"/>
  <c r="H16" i="9"/>
  <c r="F16" i="9"/>
  <c r="D16" i="9"/>
  <c r="K15" i="9"/>
  <c r="J15" i="9"/>
  <c r="H15" i="9"/>
  <c r="F15" i="9"/>
  <c r="D15" i="9"/>
  <c r="K14" i="9"/>
  <c r="R11" i="9"/>
  <c r="P11" i="9"/>
  <c r="N11" i="9"/>
  <c r="L11" i="9"/>
  <c r="J11" i="9"/>
  <c r="H11" i="9"/>
  <c r="F11" i="9"/>
  <c r="D11" i="9"/>
  <c r="R10" i="9"/>
  <c r="P10" i="9"/>
  <c r="N10" i="9"/>
  <c r="L10" i="9"/>
  <c r="J10" i="9"/>
  <c r="H10" i="9"/>
  <c r="F10" i="9"/>
  <c r="D10" i="9"/>
  <c r="G5" i="9"/>
  <c r="E13" i="7" l="1"/>
  <c r="F25" i="7"/>
  <c r="C13" i="7" s="1"/>
  <c r="K25" i="7"/>
  <c r="M14" i="7"/>
  <c r="M15" i="7"/>
  <c r="M16" i="7"/>
  <c r="M17" i="7"/>
  <c r="M18" i="7"/>
  <c r="M13" i="7"/>
  <c r="F27" i="7" l="1"/>
  <c r="J34" i="7"/>
  <c r="I34" i="7"/>
  <c r="H34" i="7"/>
  <c r="G34" i="7"/>
  <c r="K33" i="7"/>
  <c r="E12" i="7" s="1"/>
  <c r="K32" i="7"/>
  <c r="E11" i="7" s="1"/>
  <c r="K31" i="7"/>
  <c r="E10" i="7" s="1"/>
  <c r="K30" i="7"/>
  <c r="E9" i="7" s="1"/>
  <c r="K29" i="7"/>
  <c r="E8" i="7" s="1"/>
  <c r="K28" i="7"/>
  <c r="E7" i="7" s="1"/>
  <c r="K27" i="7"/>
  <c r="E6" i="7" s="1"/>
  <c r="K26" i="7"/>
  <c r="E5" i="7" s="1"/>
  <c r="D34" i="7"/>
  <c r="C34" i="7"/>
  <c r="B34" i="7"/>
  <c r="F33" i="7"/>
  <c r="F32" i="7"/>
  <c r="F31" i="7"/>
  <c r="F30" i="7"/>
  <c r="F29" i="7"/>
  <c r="F28" i="7"/>
  <c r="F26" i="7"/>
  <c r="K34" i="7" l="1"/>
  <c r="E34" i="7"/>
  <c r="F34" i="7"/>
  <c r="G12" i="7" l="1"/>
  <c r="F12" i="7"/>
  <c r="G11" i="7"/>
  <c r="F11" i="7"/>
  <c r="D11" i="7"/>
  <c r="G10" i="7"/>
  <c r="F10" i="7"/>
  <c r="D10" i="7"/>
  <c r="G9" i="7"/>
  <c r="F9" i="7"/>
  <c r="G8" i="7"/>
  <c r="F8" i="7"/>
  <c r="D8" i="7"/>
  <c r="G7" i="7"/>
  <c r="F7" i="7"/>
  <c r="D7" i="7"/>
  <c r="G6" i="7"/>
  <c r="F6" i="7"/>
  <c r="D6" i="7"/>
  <c r="G5" i="7"/>
  <c r="F5" i="7"/>
  <c r="I8" i="7" l="1"/>
  <c r="I7" i="7"/>
  <c r="I11" i="7"/>
  <c r="I6" i="7"/>
  <c r="I10" i="7"/>
  <c r="H11" i="7"/>
  <c r="J11" i="7" s="1"/>
  <c r="M11" i="7" s="1"/>
  <c r="I9" i="7"/>
  <c r="I12" i="7"/>
  <c r="I5" i="7"/>
  <c r="H5" i="7"/>
  <c r="J5" i="7" s="1"/>
  <c r="M5" i="7" s="1"/>
  <c r="H7" i="7"/>
  <c r="J7" i="7" s="1"/>
  <c r="M7" i="7" s="1"/>
  <c r="H9" i="7"/>
  <c r="J9" i="7" s="1"/>
  <c r="L9" i="7" s="1"/>
  <c r="H6" i="7"/>
  <c r="H10" i="7"/>
  <c r="J10" i="7" s="1"/>
  <c r="M10" i="7" s="1"/>
  <c r="H8" i="7"/>
  <c r="J8" i="7" s="1"/>
  <c r="L8" i="7" s="1"/>
  <c r="H12" i="7"/>
  <c r="P5" i="3"/>
  <c r="L5" i="6"/>
  <c r="G7" i="6"/>
  <c r="G8" i="6"/>
  <c r="G9" i="6"/>
  <c r="G10" i="6"/>
  <c r="G11" i="6"/>
  <c r="G12" i="6"/>
  <c r="G13" i="6"/>
  <c r="F7" i="6"/>
  <c r="F8" i="6"/>
  <c r="F9" i="6"/>
  <c r="F10" i="6"/>
  <c r="F11" i="6"/>
  <c r="F12" i="6"/>
  <c r="F13" i="6"/>
  <c r="D7" i="6"/>
  <c r="D8" i="6"/>
  <c r="D9" i="6"/>
  <c r="D10" i="6"/>
  <c r="D11" i="6"/>
  <c r="D12" i="6"/>
  <c r="D13" i="6"/>
  <c r="G6" i="6"/>
  <c r="F6" i="6"/>
  <c r="L11" i="7" l="1"/>
  <c r="L5" i="7"/>
  <c r="J12" i="7"/>
  <c r="M12" i="7" s="1"/>
  <c r="J6" i="7"/>
  <c r="M6" i="7" s="1"/>
  <c r="L10" i="7"/>
  <c r="M8" i="7"/>
  <c r="M9" i="7"/>
  <c r="L7" i="7"/>
  <c r="I11" i="6"/>
  <c r="I13" i="6"/>
  <c r="I9" i="6"/>
  <c r="I12" i="6"/>
  <c r="I8" i="6"/>
  <c r="I7" i="6"/>
  <c r="I10" i="6"/>
  <c r="I6" i="6"/>
  <c r="D6" i="6"/>
  <c r="H9" i="6" s="1"/>
  <c r="L12" i="7" l="1"/>
  <c r="L6" i="7"/>
  <c r="J9" i="6"/>
  <c r="L9" i="6" s="1"/>
  <c r="M9" i="6"/>
  <c r="H7" i="6"/>
  <c r="J7" i="6" s="1"/>
  <c r="H12" i="6"/>
  <c r="J12" i="6" s="1"/>
  <c r="H13" i="6"/>
  <c r="J13" i="6" s="1"/>
  <c r="H6" i="6"/>
  <c r="J6" i="6" s="1"/>
  <c r="H8" i="6"/>
  <c r="J8" i="6" s="1"/>
  <c r="H10" i="6"/>
  <c r="J10" i="6" s="1"/>
  <c r="H11" i="6"/>
  <c r="J11" i="6" s="1"/>
  <c r="L6" i="6" l="1"/>
  <c r="M6" i="6"/>
  <c r="L13" i="6"/>
  <c r="M13" i="6"/>
  <c r="L8" i="6"/>
  <c r="M8" i="6"/>
  <c r="L7" i="6"/>
  <c r="M7" i="6"/>
  <c r="L11" i="6"/>
  <c r="M11" i="6"/>
  <c r="L10" i="6"/>
  <c r="M10" i="6"/>
  <c r="L12" i="6"/>
  <c r="M12" i="6"/>
  <c r="M5" i="6" l="1"/>
  <c r="E13" i="4" l="1"/>
  <c r="G13" i="4"/>
  <c r="I13" i="4"/>
  <c r="K13" i="4"/>
  <c r="M13" i="4"/>
  <c r="O13" i="4"/>
  <c r="Q13" i="4"/>
  <c r="C13" i="4"/>
  <c r="S4" i="3"/>
  <c r="R12" i="4"/>
  <c r="F16" i="4"/>
  <c r="G5" i="4" l="1"/>
  <c r="S5" i="3" l="1"/>
  <c r="R5" i="3" s="1"/>
  <c r="P4" i="3"/>
  <c r="O15" i="3"/>
  <c r="O14" i="3"/>
  <c r="N17" i="3"/>
  <c r="N15" i="3"/>
  <c r="N14" i="3"/>
  <c r="N13" i="3"/>
  <c r="N12" i="3"/>
  <c r="N11" i="3"/>
  <c r="N10" i="3"/>
  <c r="N9" i="3"/>
  <c r="N8" i="3"/>
  <c r="M10" i="3"/>
  <c r="M9" i="3"/>
  <c r="M8" i="3"/>
  <c r="L17" i="3"/>
  <c r="L16" i="3"/>
  <c r="L15" i="3"/>
  <c r="L14" i="3"/>
  <c r="L13" i="3"/>
  <c r="L12" i="3"/>
  <c r="L11" i="3"/>
  <c r="L10" i="3"/>
  <c r="L9" i="3"/>
  <c r="L8" i="3"/>
  <c r="K17" i="3"/>
  <c r="K16" i="3"/>
  <c r="K15" i="3"/>
  <c r="K14" i="3"/>
  <c r="K13" i="3"/>
  <c r="K12" i="3"/>
  <c r="K11" i="3"/>
  <c r="K10" i="3"/>
  <c r="K9" i="3"/>
  <c r="K8" i="3"/>
  <c r="J17" i="3"/>
  <c r="J16" i="3"/>
  <c r="J15" i="3"/>
  <c r="J14" i="3"/>
  <c r="J13" i="3"/>
  <c r="J12" i="3"/>
  <c r="J11" i="3"/>
  <c r="J10" i="3"/>
  <c r="J9" i="3"/>
  <c r="J8" i="3"/>
  <c r="I17" i="3"/>
  <c r="I16" i="3"/>
  <c r="I15" i="3"/>
  <c r="I14" i="3"/>
  <c r="I13" i="3"/>
  <c r="I12" i="3"/>
  <c r="I11" i="3"/>
  <c r="I10" i="3"/>
  <c r="I9" i="3"/>
  <c r="I8" i="3"/>
  <c r="H17" i="3"/>
  <c r="H16" i="3"/>
  <c r="H15" i="3"/>
  <c r="H14" i="3"/>
  <c r="H13" i="3"/>
  <c r="H12" i="3"/>
  <c r="H11" i="3"/>
  <c r="H10" i="3"/>
  <c r="H9" i="3"/>
  <c r="H8" i="3"/>
  <c r="G17" i="3"/>
  <c r="G16" i="3"/>
  <c r="G15" i="3"/>
  <c r="G14" i="3"/>
  <c r="G13" i="3"/>
  <c r="G12" i="3"/>
  <c r="G11" i="3"/>
  <c r="G10" i="3"/>
  <c r="G9" i="3"/>
  <c r="G8" i="3"/>
  <c r="F17" i="3"/>
  <c r="F16" i="3"/>
  <c r="F15" i="3"/>
  <c r="F14" i="3"/>
  <c r="F13" i="3"/>
  <c r="F12" i="3"/>
  <c r="F11" i="3"/>
  <c r="F10" i="3"/>
  <c r="F9" i="3"/>
  <c r="F8" i="3"/>
  <c r="E17" i="3"/>
  <c r="E16" i="3"/>
  <c r="E15" i="3"/>
  <c r="E14" i="3"/>
  <c r="E13" i="3"/>
  <c r="E12" i="3"/>
  <c r="E11" i="3"/>
  <c r="E10" i="3"/>
  <c r="E9" i="3"/>
  <c r="D17" i="3"/>
  <c r="D16" i="3"/>
  <c r="D15" i="3"/>
  <c r="D14" i="3"/>
  <c r="D13" i="3"/>
  <c r="D12" i="3"/>
  <c r="D11" i="3"/>
  <c r="D10" i="3"/>
  <c r="D9" i="3"/>
  <c r="D8" i="3"/>
  <c r="D19" i="3" l="1"/>
  <c r="H19" i="3"/>
  <c r="L19" i="3"/>
  <c r="I19" i="3"/>
  <c r="F19" i="3"/>
  <c r="J19" i="3"/>
  <c r="N19" i="3"/>
  <c r="M19" i="3"/>
  <c r="G19" i="3"/>
  <c r="K19" i="3"/>
  <c r="O19" i="3"/>
  <c r="E19" i="3"/>
  <c r="K17" i="4"/>
  <c r="P19" i="3" l="1"/>
  <c r="J17" i="4" l="1"/>
  <c r="H17" i="4"/>
  <c r="F17" i="4"/>
  <c r="D17" i="4"/>
  <c r="R11" i="4"/>
  <c r="P11" i="4"/>
  <c r="N11" i="4"/>
  <c r="H16" i="4"/>
  <c r="J16" i="4" s="1"/>
  <c r="D16" i="4"/>
  <c r="L11" i="4"/>
  <c r="J11" i="4"/>
  <c r="H11" i="4"/>
  <c r="F11" i="4"/>
  <c r="D11" i="4"/>
  <c r="P6" i="3"/>
  <c r="P7" i="3"/>
  <c r="S7" i="3" s="1"/>
  <c r="F21" i="3" l="1"/>
  <c r="K20" i="3"/>
  <c r="K21" i="3"/>
  <c r="E20" i="3"/>
  <c r="E21" i="3"/>
  <c r="J20" i="3"/>
  <c r="H21" i="3"/>
  <c r="D21" i="3"/>
  <c r="G20" i="3"/>
  <c r="L20" i="3"/>
  <c r="J21" i="3"/>
  <c r="O20" i="3"/>
  <c r="O21" i="3"/>
  <c r="I20" i="3"/>
  <c r="I21" i="3"/>
  <c r="N20" i="3"/>
  <c r="N21" i="3"/>
  <c r="D20" i="3"/>
  <c r="H20" i="3"/>
  <c r="M20" i="3"/>
  <c r="M21" i="3"/>
  <c r="G21" i="3"/>
  <c r="L21" i="3"/>
  <c r="F20" i="3"/>
  <c r="S6" i="3"/>
  <c r="K16" i="4"/>
  <c r="L16" i="4" s="1"/>
  <c r="R10" i="4"/>
  <c r="P10" i="4"/>
  <c r="N10" i="4"/>
  <c r="L10" i="4"/>
  <c r="J10" i="4"/>
  <c r="H10" i="4"/>
  <c r="F10" i="4"/>
  <c r="K15" i="4"/>
  <c r="P17" i="3"/>
  <c r="P16" i="3"/>
  <c r="P15" i="3"/>
  <c r="P14" i="3"/>
  <c r="P13" i="3"/>
  <c r="P12" i="3"/>
  <c r="P11" i="3"/>
  <c r="P10" i="3"/>
  <c r="P9" i="3"/>
  <c r="P8" i="3"/>
  <c r="K22" i="3" s="1"/>
  <c r="M22" i="3" l="1"/>
  <c r="I22" i="3"/>
  <c r="L23" i="3"/>
  <c r="J22" i="3"/>
  <c r="H22" i="3"/>
  <c r="O23" i="3"/>
  <c r="M23" i="3"/>
  <c r="I23" i="3"/>
  <c r="P20" i="3"/>
  <c r="E23" i="3"/>
  <c r="K23" i="3"/>
  <c r="P21" i="3"/>
  <c r="G23" i="3"/>
  <c r="F23" i="3"/>
  <c r="E22" i="3"/>
  <c r="L22" i="3"/>
  <c r="O22" i="3"/>
  <c r="G22" i="3"/>
  <c r="N23" i="3"/>
  <c r="F22" i="3"/>
  <c r="H23" i="3"/>
  <c r="D22" i="3"/>
  <c r="J23" i="3"/>
  <c r="D23" i="3"/>
  <c r="P23" i="3" s="1"/>
  <c r="N22" i="3"/>
  <c r="D10" i="4"/>
  <c r="P22" i="3" l="1"/>
</calcChain>
</file>

<file path=xl/sharedStrings.xml><?xml version="1.0" encoding="utf-8"?>
<sst xmlns="http://schemas.openxmlformats.org/spreadsheetml/2006/main" count="193" uniqueCount="75">
  <si>
    <t>Lietuvos akrobatinio skraidymo federacija</t>
  </si>
  <si>
    <t>Lietuvos aviamodelių skraidymo federacija</t>
  </si>
  <si>
    <t>Lietuvos bendrosios aviacijos sporto federacija</t>
  </si>
  <si>
    <t>Lietuvos oreivių draugija</t>
  </si>
  <si>
    <t>Lietuvos parašiutų sporto federacija</t>
  </si>
  <si>
    <t>Lietuvos sklandymo federacija</t>
  </si>
  <si>
    <t>Lietuvos skraidyklių ir parasparnių sporto federacija</t>
  </si>
  <si>
    <t>Lietuvos ultralenvųjų orlaivių pilotų federacija</t>
  </si>
  <si>
    <t>Lietuvos aviakonstruktorių federacija</t>
  </si>
  <si>
    <t>Lietuvos senovinių orlaivių asociacija</t>
  </si>
  <si>
    <t>Lietuvos vaikų sklandymo federacija</t>
  </si>
  <si>
    <t>Lietuvos aviacijos veteranų sąjunga</t>
  </si>
  <si>
    <t xml:space="preserve">Akrobatinis </t>
  </si>
  <si>
    <t>Aviakon.</t>
  </si>
  <si>
    <t>Aviamod.</t>
  </si>
  <si>
    <t>Oreiviai</t>
  </si>
  <si>
    <t>LSPSF</t>
  </si>
  <si>
    <t>Sklandymas</t>
  </si>
  <si>
    <t>Parašiutai</t>
  </si>
  <si>
    <t>ULOPF</t>
  </si>
  <si>
    <t>Senov.</t>
  </si>
  <si>
    <t>Vaikų</t>
  </si>
  <si>
    <t>Veter.</t>
  </si>
  <si>
    <t>Viso:</t>
  </si>
  <si>
    <t>EUR</t>
  </si>
  <si>
    <t>2 m. vid. %</t>
  </si>
  <si>
    <t>3 m. vid. %</t>
  </si>
  <si>
    <t>LAK</t>
  </si>
  <si>
    <t>Lieka federacijoms</t>
  </si>
  <si>
    <t>%</t>
  </si>
  <si>
    <t>Planuota</t>
  </si>
  <si>
    <t>Veteranų sąjunga</t>
  </si>
  <si>
    <t>Vaikų sklandymas</t>
  </si>
  <si>
    <t>Senoviniai orlaiviai</t>
  </si>
  <si>
    <t>Bendroji aviacija</t>
  </si>
  <si>
    <t>Aviamodeliai</t>
  </si>
  <si>
    <t>Aviakonstruktoriai</t>
  </si>
  <si>
    <t>Gražinta LAK</t>
  </si>
  <si>
    <t>2018 m. finansavimas</t>
  </si>
  <si>
    <t xml:space="preserve">Bendroji </t>
  </si>
  <si>
    <t>Viso</t>
  </si>
  <si>
    <t>4 m. vid. %</t>
  </si>
  <si>
    <t>5 m. vid. %</t>
  </si>
  <si>
    <t>10 m. vid. %</t>
  </si>
  <si>
    <t>Su LAK viso</t>
  </si>
  <si>
    <t>Liko</t>
  </si>
  <si>
    <t>Suderinta samata</t>
  </si>
  <si>
    <t>Planuota paraiskoje</t>
  </si>
  <si>
    <t>Procentai</t>
  </si>
  <si>
    <t>Brangumas</t>
  </si>
  <si>
    <t>Bazė</t>
  </si>
  <si>
    <t>Skirstoma suma</t>
  </si>
  <si>
    <t>Brangumo %</t>
  </si>
  <si>
    <t>Sporto %</t>
  </si>
  <si>
    <t>Masiškumo %</t>
  </si>
  <si>
    <t>Lėšų poreikis</t>
  </si>
  <si>
    <t>Sportiniai rezultatai</t>
  </si>
  <si>
    <t>Masiškumas</t>
  </si>
  <si>
    <t>KKSD balai</t>
  </si>
  <si>
    <t>Taškai</t>
  </si>
  <si>
    <t>FEDERACIJOS</t>
  </si>
  <si>
    <t>FAI 1 kat. sport. skaičius</t>
  </si>
  <si>
    <t>Viso %</t>
  </si>
  <si>
    <t>Gauta suma</t>
  </si>
  <si>
    <t>LAK administravimas</t>
  </si>
  <si>
    <t>Lietuvos oreivių federacija</t>
  </si>
  <si>
    <t>KKSD BALAI</t>
  </si>
  <si>
    <t>VISO</t>
  </si>
  <si>
    <t>Lietuvos akrobatinio sklandymo federacija</t>
  </si>
  <si>
    <t>-</t>
  </si>
  <si>
    <t>Ištrauka iš 2016 metų protokolo: 3. Laikantis tęstinumo, skirti 8689 Eur kiekvienam LAK federacijų organizuojamam Europos ar pasaulio čempionatui.</t>
  </si>
  <si>
    <t>2019 m. finansavimas</t>
  </si>
  <si>
    <t>FAI ULO Varžybos</t>
  </si>
  <si>
    <t>2700 Eur iš LAK paramos lėšų</t>
  </si>
  <si>
    <t>Skirtumas 2018-2019 metų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</si>
</sst>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Blue]\▲0%;[Red]\▼0%"/>
    <numFmt numFmtId="165" formatCode="[Blue]\+;[Red]\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5" fillId="3" borderId="1" xfId="0" applyFont="1" applyFill="1" applyBorder="1"/>
    <xf numFmtId="0" fontId="0" fillId="2" borderId="0" xfId="0" applyFill="1"/>
    <xf numFmtId="10" fontId="0" fillId="2" borderId="1" xfId="1" applyNumberFormat="1" applyFont="1" applyFill="1" applyBorder="1" applyAlignment="1"/>
    <xf numFmtId="0" fontId="0" fillId="0" borderId="0" xfId="0" applyAlignment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6" fillId="0" borderId="1" xfId="0" applyFont="1" applyBorder="1"/>
    <xf numFmtId="2" fontId="6" fillId="2" borderId="1" xfId="0" applyNumberFormat="1" applyFont="1" applyFill="1" applyBorder="1"/>
    <xf numFmtId="165" fontId="10" fillId="2" borderId="1" xfId="1" applyNumberFormat="1" applyFont="1" applyFill="1" applyBorder="1" applyAlignment="1">
      <alignment horizontal="center"/>
    </xf>
    <xf numFmtId="0" fontId="6" fillId="0" borderId="0" xfId="0" applyFont="1" applyBorder="1"/>
    <xf numFmtId="0" fontId="0" fillId="0" borderId="5" xfId="0" applyBorder="1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0" fillId="0" borderId="0" xfId="0" applyNumberFormat="1"/>
    <xf numFmtId="0" fontId="5" fillId="3" borderId="1" xfId="0" applyFont="1" applyFill="1" applyBorder="1" applyAlignment="1"/>
    <xf numFmtId="0" fontId="0" fillId="0" borderId="0" xfId="0" applyFill="1" applyBorder="1"/>
    <xf numFmtId="0" fontId="2" fillId="0" borderId="0" xfId="0" applyFont="1" applyBorder="1" applyAlignment="1"/>
    <xf numFmtId="0" fontId="6" fillId="0" borderId="6" xfId="0" applyFont="1" applyBorder="1"/>
    <xf numFmtId="164" fontId="6" fillId="2" borderId="8" xfId="1" applyNumberFormat="1" applyFont="1" applyFill="1" applyBorder="1"/>
    <xf numFmtId="2" fontId="8" fillId="2" borderId="2" xfId="0" applyNumberFormat="1" applyFont="1" applyFill="1" applyBorder="1"/>
    <xf numFmtId="0" fontId="6" fillId="2" borderId="3" xfId="0" applyFont="1" applyFill="1" applyBorder="1"/>
    <xf numFmtId="0" fontId="8" fillId="2" borderId="10" xfId="0" applyFont="1" applyFill="1" applyBorder="1"/>
    <xf numFmtId="164" fontId="6" fillId="2" borderId="7" xfId="1" applyNumberFormat="1" applyFont="1" applyFill="1" applyBorder="1"/>
    <xf numFmtId="0" fontId="9" fillId="0" borderId="10" xfId="0" applyFont="1" applyBorder="1" applyAlignment="1">
      <alignment horizontal="center"/>
    </xf>
    <xf numFmtId="0" fontId="8" fillId="0" borderId="2" xfId="0" applyFont="1" applyBorder="1"/>
    <xf numFmtId="0" fontId="0" fillId="0" borderId="3" xfId="0" applyBorder="1"/>
    <xf numFmtId="0" fontId="8" fillId="0" borderId="10" xfId="0" applyFont="1" applyBorder="1"/>
    <xf numFmtId="165" fontId="12" fillId="2" borderId="1" xfId="1" applyNumberFormat="1" applyFont="1" applyFill="1" applyBorder="1" applyAlignment="1">
      <alignment horizontal="center"/>
    </xf>
    <xf numFmtId="0" fontId="0" fillId="0" borderId="0" xfId="0" applyBorder="1"/>
    <xf numFmtId="1" fontId="0" fillId="2" borderId="1" xfId="0" applyNumberFormat="1" applyFill="1" applyBorder="1"/>
    <xf numFmtId="0" fontId="11" fillId="2" borderId="1" xfId="0" applyFont="1" applyFill="1" applyBorder="1" applyAlignment="1">
      <alignment horizontal="center" textRotation="45"/>
    </xf>
    <xf numFmtId="0" fontId="0" fillId="0" borderId="1" xfId="0" applyBorder="1" applyAlignment="1">
      <alignment textRotation="45"/>
    </xf>
    <xf numFmtId="1" fontId="0" fillId="2" borderId="17" xfId="0" applyNumberFormat="1" applyFill="1" applyBorder="1"/>
    <xf numFmtId="0" fontId="3" fillId="0" borderId="19" xfId="0" applyFont="1" applyBorder="1" applyAlignment="1"/>
    <xf numFmtId="0" fontId="2" fillId="0" borderId="19" xfId="0" applyFont="1" applyBorder="1"/>
    <xf numFmtId="0" fontId="2" fillId="0" borderId="20" xfId="0" applyFont="1" applyBorder="1"/>
    <xf numFmtId="0" fontId="5" fillId="3" borderId="14" xfId="0" applyFont="1" applyFill="1" applyBorder="1" applyAlignment="1"/>
    <xf numFmtId="0" fontId="5" fillId="3" borderId="14" xfId="0" applyFont="1" applyFill="1" applyBorder="1"/>
    <xf numFmtId="1" fontId="0" fillId="2" borderId="14" xfId="0" applyNumberFormat="1" applyFill="1" applyBorder="1"/>
    <xf numFmtId="1" fontId="0" fillId="2" borderId="16" xfId="0" applyNumberFormat="1" applyFill="1" applyBorder="1"/>
    <xf numFmtId="0" fontId="0" fillId="0" borderId="21" xfId="0" applyBorder="1"/>
    <xf numFmtId="0" fontId="13" fillId="4" borderId="15" xfId="0" applyFont="1" applyFill="1" applyBorder="1" applyAlignment="1"/>
    <xf numFmtId="0" fontId="2" fillId="4" borderId="15" xfId="0" applyFont="1" applyFill="1" applyBorder="1"/>
    <xf numFmtId="1" fontId="2" fillId="4" borderId="15" xfId="0" applyNumberFormat="1" applyFont="1" applyFill="1" applyBorder="1"/>
    <xf numFmtId="1" fontId="2" fillId="4" borderId="18" xfId="0" applyNumberFormat="1" applyFont="1" applyFill="1" applyBorder="1"/>
    <xf numFmtId="0" fontId="3" fillId="5" borderId="8" xfId="0" applyFont="1" applyFill="1" applyBorder="1" applyAlignment="1">
      <alignment textRotation="45"/>
    </xf>
    <xf numFmtId="0" fontId="0" fillId="5" borderId="8" xfId="0" applyFill="1" applyBorder="1" applyAlignment="1"/>
    <xf numFmtId="0" fontId="0" fillId="5" borderId="8" xfId="0" applyFill="1" applyBorder="1"/>
    <xf numFmtId="0" fontId="8" fillId="0" borderId="1" xfId="0" applyFont="1" applyBorder="1" applyAlignment="1">
      <alignment horizontal="center" vertical="center"/>
    </xf>
    <xf numFmtId="2" fontId="6" fillId="2" borderId="10" xfId="1" applyNumberFormat="1" applyFont="1" applyFill="1" applyBorder="1"/>
    <xf numFmtId="0" fontId="7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6" fillId="2" borderId="1" xfId="1" applyNumberFormat="1" applyFont="1" applyFill="1" applyBorder="1"/>
    <xf numFmtId="0" fontId="0" fillId="0" borderId="17" xfId="0" applyBorder="1"/>
    <xf numFmtId="0" fontId="0" fillId="0" borderId="22" xfId="0" applyBorder="1"/>
    <xf numFmtId="0" fontId="4" fillId="2" borderId="23" xfId="0" applyFont="1" applyFill="1" applyBorder="1" applyAlignment="1">
      <alignment textRotation="45"/>
    </xf>
    <xf numFmtId="0" fontId="4" fillId="2" borderId="24" xfId="0" applyFont="1" applyFill="1" applyBorder="1" applyAlignment="1">
      <alignment textRotation="45"/>
    </xf>
    <xf numFmtId="0" fontId="5" fillId="4" borderId="25" xfId="0" applyFont="1" applyFill="1" applyBorder="1" applyAlignment="1">
      <alignment textRotation="45"/>
    </xf>
    <xf numFmtId="0" fontId="4" fillId="2" borderId="26" xfId="0" applyFont="1" applyFill="1" applyBorder="1" applyAlignment="1">
      <alignment textRotation="45"/>
    </xf>
    <xf numFmtId="0" fontId="5" fillId="3" borderId="27" xfId="0" applyFont="1" applyFill="1" applyBorder="1" applyAlignment="1"/>
    <xf numFmtId="0" fontId="5" fillId="3" borderId="3" xfId="0" applyFont="1" applyFill="1" applyBorder="1" applyAlignment="1"/>
    <xf numFmtId="0" fontId="13" fillId="4" borderId="28" xfId="0" applyFont="1" applyFill="1" applyBorder="1" applyAlignment="1"/>
    <xf numFmtId="0" fontId="0" fillId="0" borderId="8" xfId="0" applyBorder="1" applyAlignment="1"/>
    <xf numFmtId="0" fontId="4" fillId="2" borderId="11" xfId="0" applyFont="1" applyFill="1" applyBorder="1" applyAlignment="1">
      <alignment textRotation="45"/>
    </xf>
    <xf numFmtId="0" fontId="4" fillId="2" borderId="12" xfId="0" applyFont="1" applyFill="1" applyBorder="1" applyAlignment="1">
      <alignment textRotation="45"/>
    </xf>
    <xf numFmtId="0" fontId="5" fillId="4" borderId="13" xfId="0" applyFont="1" applyFill="1" applyBorder="1" applyAlignment="1">
      <alignment textRotation="45"/>
    </xf>
    <xf numFmtId="0" fontId="0" fillId="0" borderId="0" xfId="0" applyFont="1" applyAlignment="1"/>
    <xf numFmtId="1" fontId="0" fillId="0" borderId="0" xfId="0" applyNumberFormat="1" applyFont="1" applyAlignment="1"/>
    <xf numFmtId="1" fontId="15" fillId="0" borderId="1" xfId="0" applyNumberFormat="1" applyFont="1" applyBorder="1" applyAlignment="1"/>
    <xf numFmtId="1" fontId="16" fillId="0" borderId="0" xfId="0" applyNumberFormat="1" applyFont="1"/>
    <xf numFmtId="1" fontId="17" fillId="0" borderId="0" xfId="0" applyNumberFormat="1" applyFont="1"/>
    <xf numFmtId="0" fontId="18" fillId="0" borderId="1" xfId="0" applyFont="1" applyBorder="1"/>
    <xf numFmtId="0" fontId="19" fillId="0" borderId="1" xfId="0" applyFont="1" applyBorder="1"/>
    <xf numFmtId="0" fontId="16" fillId="0" borderId="1" xfId="0" applyFont="1" applyBorder="1" applyAlignment="1"/>
    <xf numFmtId="0" fontId="17" fillId="0" borderId="1" xfId="0" applyFont="1" applyFill="1" applyBorder="1"/>
    <xf numFmtId="0" fontId="19" fillId="0" borderId="8" xfId="0" applyFont="1" applyBorder="1"/>
    <xf numFmtId="0" fontId="16" fillId="0" borderId="1" xfId="0" applyFont="1" applyFill="1" applyBorder="1" applyAlignment="1"/>
    <xf numFmtId="10" fontId="16" fillId="0" borderId="1" xfId="0" applyNumberFormat="1" applyFont="1" applyFill="1" applyBorder="1"/>
    <xf numFmtId="10" fontId="16" fillId="0" borderId="1" xfId="0" applyNumberFormat="1" applyFont="1" applyFill="1" applyBorder="1" applyAlignment="1">
      <alignment horizontal="left"/>
    </xf>
    <xf numFmtId="0" fontId="20" fillId="0" borderId="1" xfId="0" applyFont="1" applyBorder="1" applyAlignment="1"/>
    <xf numFmtId="1" fontId="16" fillId="0" borderId="1" xfId="0" applyNumberFormat="1" applyFont="1" applyBorder="1"/>
    <xf numFmtId="0" fontId="19" fillId="0" borderId="0" xfId="0" applyFont="1" applyBorder="1"/>
    <xf numFmtId="0" fontId="20" fillId="0" borderId="0" xfId="0" applyFont="1" applyFill="1" applyBorder="1"/>
    <xf numFmtId="0" fontId="20" fillId="0" borderId="0" xfId="0" applyFont="1" applyFill="1"/>
    <xf numFmtId="0" fontId="16" fillId="0" borderId="0" xfId="0" applyFont="1" applyAlignment="1"/>
    <xf numFmtId="1" fontId="15" fillId="0" borderId="0" xfId="0" applyNumberFormat="1" applyFont="1" applyFill="1" applyBorder="1"/>
    <xf numFmtId="0" fontId="20" fillId="0" borderId="0" xfId="0" applyFont="1" applyAlignment="1"/>
    <xf numFmtId="0" fontId="20" fillId="0" borderId="0" xfId="0" applyFont="1" applyBorder="1"/>
    <xf numFmtId="0" fontId="20" fillId="0" borderId="0" xfId="0" applyFont="1"/>
    <xf numFmtId="0" fontId="15" fillId="0" borderId="0" xfId="0" applyFont="1" applyFill="1" applyBorder="1"/>
    <xf numFmtId="1" fontId="15" fillId="0" borderId="1" xfId="0" applyNumberFormat="1" applyFont="1" applyBorder="1"/>
    <xf numFmtId="0" fontId="2" fillId="0" borderId="29" xfId="0" applyFont="1" applyFill="1" applyBorder="1" applyAlignment="1"/>
    <xf numFmtId="0" fontId="2" fillId="0" borderId="0" xfId="0" applyFont="1" applyFill="1" applyBorder="1" applyAlignment="1"/>
    <xf numFmtId="10" fontId="2" fillId="0" borderId="29" xfId="0" applyNumberFormat="1" applyFont="1" applyFill="1" applyBorder="1" applyAlignment="1"/>
    <xf numFmtId="0" fontId="17" fillId="0" borderId="0" xfId="0" applyFont="1" applyFill="1" applyBorder="1"/>
    <xf numFmtId="1" fontId="17" fillId="0" borderId="0" xfId="0" applyNumberFormat="1" applyFont="1" applyBorder="1"/>
    <xf numFmtId="0" fontId="21" fillId="0" borderId="1" xfId="0" applyFont="1" applyBorder="1"/>
    <xf numFmtId="0" fontId="23" fillId="0" borderId="1" xfId="0" applyFont="1" applyBorder="1"/>
    <xf numFmtId="0" fontId="24" fillId="0" borderId="1" xfId="0" applyFont="1" applyBorder="1" applyAlignment="1"/>
    <xf numFmtId="1" fontId="22" fillId="0" borderId="6" xfId="0" applyNumberFormat="1" applyFont="1" applyBorder="1" applyAlignment="1"/>
    <xf numFmtId="1" fontId="22" fillId="0" borderId="1" xfId="0" applyNumberFormat="1" applyFont="1" applyBorder="1" applyAlignment="1"/>
    <xf numFmtId="0" fontId="25" fillId="0" borderId="1" xfId="0" applyFont="1" applyFill="1" applyBorder="1"/>
    <xf numFmtId="0" fontId="23" fillId="0" borderId="8" xfId="0" applyFont="1" applyBorder="1"/>
    <xf numFmtId="0" fontId="24" fillId="0" borderId="1" xfId="0" applyFont="1" applyFill="1" applyBorder="1" applyAlignment="1"/>
    <xf numFmtId="10" fontId="24" fillId="0" borderId="1" xfId="0" applyNumberFormat="1" applyFont="1" applyFill="1" applyBorder="1"/>
    <xf numFmtId="10" fontId="24" fillId="0" borderId="1" xfId="0" applyNumberFormat="1" applyFont="1" applyFill="1" applyBorder="1" applyAlignment="1">
      <alignment horizontal="left"/>
    </xf>
    <xf numFmtId="0" fontId="26" fillId="0" borderId="1" xfId="0" applyFont="1" applyBorder="1" applyAlignment="1"/>
    <xf numFmtId="1" fontId="24" fillId="0" borderId="6" xfId="0" applyNumberFormat="1" applyFont="1" applyBorder="1"/>
    <xf numFmtId="1" fontId="22" fillId="0" borderId="1" xfId="0" applyNumberFormat="1" applyFont="1" applyBorder="1"/>
    <xf numFmtId="0" fontId="23" fillId="6" borderId="1" xfId="0" applyFont="1" applyFill="1" applyBorder="1"/>
    <xf numFmtId="0" fontId="26" fillId="6" borderId="1" xfId="0" applyFont="1" applyFill="1" applyBorder="1"/>
    <xf numFmtId="1" fontId="22" fillId="0" borderId="1" xfId="0" applyNumberFormat="1" applyFont="1" applyFill="1" applyBorder="1"/>
    <xf numFmtId="1" fontId="25" fillId="0" borderId="1" xfId="0" applyNumberFormat="1" applyFont="1" applyBorder="1"/>
    <xf numFmtId="0" fontId="22" fillId="0" borderId="1" xfId="0" applyFont="1" applyFill="1" applyBorder="1"/>
    <xf numFmtId="1" fontId="24" fillId="6" borderId="1" xfId="0" applyNumberFormat="1" applyFont="1" applyFill="1" applyBorder="1"/>
    <xf numFmtId="0" fontId="26" fillId="6" borderId="1" xfId="0" applyFont="1" applyFill="1" applyBorder="1" applyAlignment="1"/>
    <xf numFmtId="0" fontId="27" fillId="0" borderId="1" xfId="0" applyFont="1" applyFill="1" applyBorder="1" applyAlignment="1"/>
    <xf numFmtId="0" fontId="29" fillId="2" borderId="1" xfId="0" applyFont="1" applyFill="1" applyBorder="1" applyAlignment="1"/>
    <xf numFmtId="0" fontId="28" fillId="2" borderId="1" xfId="0" applyFont="1" applyFill="1" applyBorder="1" applyAlignment="1"/>
    <xf numFmtId="0" fontId="30" fillId="0" borderId="1" xfId="0" applyFont="1" applyFill="1" applyBorder="1"/>
    <xf numFmtId="0" fontId="29" fillId="2" borderId="1" xfId="0" applyFont="1" applyFill="1" applyBorder="1"/>
    <xf numFmtId="2" fontId="29" fillId="2" borderId="1" xfId="0" applyNumberFormat="1" applyFont="1" applyFill="1" applyBorder="1"/>
    <xf numFmtId="2" fontId="30" fillId="0" borderId="0" xfId="0" applyNumberFormat="1" applyFont="1" applyAlignment="1">
      <alignment vertical="center"/>
    </xf>
    <xf numFmtId="1" fontId="30" fillId="0" borderId="1" xfId="0" applyNumberFormat="1" applyFont="1" applyBorder="1" applyAlignment="1">
      <alignment horizontal="right"/>
    </xf>
    <xf numFmtId="0" fontId="29" fillId="2" borderId="6" xfId="0" applyFont="1" applyFill="1" applyBorder="1"/>
    <xf numFmtId="0" fontId="28" fillId="2" borderId="10" xfId="0" applyFont="1" applyFill="1" applyBorder="1"/>
    <xf numFmtId="1" fontId="29" fillId="2" borderId="1" xfId="0" applyNumberFormat="1" applyFont="1" applyFill="1" applyBorder="1"/>
    <xf numFmtId="1" fontId="23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23" fillId="6" borderId="8" xfId="0" applyFont="1" applyFill="1" applyBorder="1"/>
    <xf numFmtId="1" fontId="24" fillId="6" borderId="6" xfId="0" applyNumberFormat="1" applyFont="1" applyFill="1" applyBorder="1"/>
    <xf numFmtId="2" fontId="23" fillId="6" borderId="1" xfId="0" applyNumberFormat="1" applyFont="1" applyFill="1" applyBorder="1"/>
    <xf numFmtId="0" fontId="25" fillId="0" borderId="9" xfId="0" applyFont="1" applyFill="1" applyBorder="1"/>
    <xf numFmtId="0" fontId="24" fillId="7" borderId="1" xfId="0" applyFont="1" applyFill="1" applyBorder="1" applyAlignment="1"/>
    <xf numFmtId="0" fontId="27" fillId="2" borderId="1" xfId="0" applyFont="1" applyFill="1" applyBorder="1" applyAlignment="1"/>
    <xf numFmtId="1" fontId="0" fillId="0" borderId="0" xfId="0" applyNumberFormat="1"/>
    <xf numFmtId="0" fontId="0" fillId="7" borderId="0" xfId="0" applyFill="1"/>
    <xf numFmtId="0" fontId="2" fillId="7" borderId="0" xfId="0" applyFont="1" applyFill="1" applyAlignment="1">
      <alignment horizontal="center"/>
    </xf>
    <xf numFmtId="0" fontId="22" fillId="0" borderId="4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8" fillId="8" borderId="0" xfId="0" applyFont="1" applyFill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Medium9"/>
  <colors>
    <mruColors>
      <color rgb="FFFFCCCC"/>
      <color rgb="FFFF9999"/>
      <color rgb="FFFF5050"/>
      <color rgb="FFFFCC00"/>
      <color rgb="FF99FF33"/>
      <color rgb="FF66FFCC"/>
      <color rgb="FFFF9933"/>
      <color rgb="FFCC66FF"/>
      <color rgb="FFFF66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workbookViewId="0">
      <pane xSplit="1" topLeftCell="G1" activePane="topRight" state="frozen"/>
      <selection pane="topRight"/>
    </sheetView>
  </sheetViews>
  <sheetFormatPr defaultRowHeight="15" x14ac:dyDescent="0.25"/>
  <cols>
    <col min="1" max="1" width="47.42578125" customWidth="1"/>
    <col min="2" max="2" width="14.28515625" customWidth="1"/>
    <col min="3" max="3" width="12.5703125" customWidth="1"/>
    <col min="4" max="4" width="9.140625" customWidth="1"/>
    <col min="5" max="5" width="12.28515625" customWidth="1"/>
    <col min="6" max="6" width="12" customWidth="1"/>
    <col min="7" max="7" width="13.28515625" customWidth="1"/>
    <col min="8" max="8" width="11.140625" customWidth="1"/>
    <col min="9" max="9" width="14.140625" customWidth="1"/>
    <col min="12" max="12" width="12.5703125" customWidth="1"/>
    <col min="14" max="14" width="10.5703125" customWidth="1"/>
    <col min="15" max="15" width="26.85546875" customWidth="1"/>
  </cols>
  <sheetData>
    <row r="2" spans="1:15" ht="15.75" x14ac:dyDescent="0.25">
      <c r="A2" s="149" t="s">
        <v>60</v>
      </c>
      <c r="B2" s="101" t="s">
        <v>49</v>
      </c>
      <c r="C2" s="149" t="s">
        <v>56</v>
      </c>
      <c r="D2" s="149"/>
      <c r="E2" s="149" t="s">
        <v>57</v>
      </c>
      <c r="F2" s="149"/>
      <c r="G2" s="150" t="s">
        <v>52</v>
      </c>
      <c r="H2" s="150" t="s">
        <v>53</v>
      </c>
      <c r="I2" s="150" t="s">
        <v>54</v>
      </c>
      <c r="J2" s="155" t="s">
        <v>62</v>
      </c>
      <c r="K2" s="155" t="s">
        <v>50</v>
      </c>
      <c r="L2" s="143" t="s">
        <v>51</v>
      </c>
      <c r="M2" s="145" t="s">
        <v>63</v>
      </c>
      <c r="N2" s="146">
        <v>2018</v>
      </c>
      <c r="O2" s="141"/>
    </row>
    <row r="3" spans="1:15" ht="15.75" x14ac:dyDescent="0.25">
      <c r="A3" s="149"/>
      <c r="B3" s="102" t="s">
        <v>55</v>
      </c>
      <c r="C3" s="102" t="s">
        <v>58</v>
      </c>
      <c r="D3" s="102" t="s">
        <v>59</v>
      </c>
      <c r="E3" s="147" t="s">
        <v>61</v>
      </c>
      <c r="F3" s="102" t="s">
        <v>59</v>
      </c>
      <c r="G3" s="151"/>
      <c r="H3" s="151"/>
      <c r="I3" s="151"/>
      <c r="J3" s="156"/>
      <c r="K3" s="157"/>
      <c r="L3" s="144"/>
      <c r="M3" s="145"/>
      <c r="N3" s="146"/>
      <c r="O3" s="141"/>
    </row>
    <row r="4" spans="1:15" ht="15.75" x14ac:dyDescent="0.25">
      <c r="A4" s="149"/>
      <c r="B4" s="101">
        <v>0.5</v>
      </c>
      <c r="C4" s="102"/>
      <c r="D4" s="101">
        <v>0.4</v>
      </c>
      <c r="E4" s="148"/>
      <c r="F4" s="101">
        <v>0.1</v>
      </c>
      <c r="G4" s="152"/>
      <c r="H4" s="152"/>
      <c r="I4" s="152"/>
      <c r="J4" s="157"/>
      <c r="K4" s="103">
        <v>164800</v>
      </c>
      <c r="L4" s="104">
        <f>K4-(SUM(K5:K19))</f>
        <v>96853</v>
      </c>
      <c r="M4" s="105">
        <f>(SUM(M5:M19))</f>
        <v>164800</v>
      </c>
      <c r="N4" s="146"/>
      <c r="O4" s="142" t="s">
        <v>74</v>
      </c>
    </row>
    <row r="5" spans="1:15" ht="15.75" x14ac:dyDescent="0.25">
      <c r="A5" s="106" t="s">
        <v>0</v>
      </c>
      <c r="B5" s="107">
        <v>8500</v>
      </c>
      <c r="C5" s="139">
        <v>0</v>
      </c>
      <c r="D5" s="138">
        <v>2</v>
      </c>
      <c r="E5" s="132">
        <f t="shared" ref="E5:E12" si="0">K26</f>
        <v>8</v>
      </c>
      <c r="F5" s="108">
        <f>COUNTIF($E$5:$E$12,"&lt;="&amp;E5)</f>
        <v>3</v>
      </c>
      <c r="G5" s="109">
        <f>B5/SUM($B$5:$B$12)*$B$4</f>
        <v>1.8331608005521048E-2</v>
      </c>
      <c r="H5" s="109">
        <f t="shared" ref="H5:H12" si="1">D5/SUM($D$5:$D$12)*$D$4</f>
        <v>2.2222222222222223E-2</v>
      </c>
      <c r="I5" s="109">
        <f>F5/SUM($F$5:$F$12)*$F$4</f>
        <v>8.1081081081081086E-3</v>
      </c>
      <c r="J5" s="110">
        <f>SUM(G5:I5)</f>
        <v>4.8661938335851376E-2</v>
      </c>
      <c r="K5" s="111">
        <v>0</v>
      </c>
      <c r="L5" s="112">
        <f t="shared" ref="L5:L12" si="2">($L$4-SUM($K$5:$K$12))*J5</f>
        <v>4713.0547136422138</v>
      </c>
      <c r="M5" s="113">
        <f>($L$4-SUM($K$5:$K$12))*J5</f>
        <v>4713.0547136422138</v>
      </c>
      <c r="N5" s="95">
        <v>12408.104976748788</v>
      </c>
      <c r="O5" s="140">
        <f>M5-N5</f>
        <v>-7695.0502631065738</v>
      </c>
    </row>
    <row r="6" spans="1:15" ht="15.75" x14ac:dyDescent="0.25">
      <c r="A6" s="106" t="s">
        <v>1</v>
      </c>
      <c r="B6" s="107">
        <v>43000</v>
      </c>
      <c r="C6" s="121">
        <v>5088.9400000000005</v>
      </c>
      <c r="D6" s="108">
        <f t="shared" ref="D6:D11" si="3">COUNTIF($C$5:$C$12,"&lt;="&amp;C6)</f>
        <v>8</v>
      </c>
      <c r="E6" s="132">
        <f t="shared" si="0"/>
        <v>118</v>
      </c>
      <c r="F6" s="108">
        <f t="shared" ref="F6:F12" si="4">COUNTIF($E$5:$E$12,"&lt;="&amp;E6)</f>
        <v>8</v>
      </c>
      <c r="G6" s="109">
        <f t="shared" ref="G6:G12" si="5">B6/SUM($B$5:$B$12)*$B$4</f>
        <v>9.2736369910282959E-2</v>
      </c>
      <c r="H6" s="109">
        <f t="shared" si="1"/>
        <v>8.8888888888888892E-2</v>
      </c>
      <c r="I6" s="109">
        <f t="shared" ref="I6:I12" si="6">F6/SUM($F$5:$F$12)*$F$4</f>
        <v>2.1621621621621623E-2</v>
      </c>
      <c r="J6" s="110">
        <f t="shared" ref="J6:J12" si="7">SUM(G6:I6)</f>
        <v>0.20324688042079347</v>
      </c>
      <c r="K6" s="111">
        <v>0</v>
      </c>
      <c r="L6" s="112">
        <f t="shared" si="2"/>
        <v>19685.07010939511</v>
      </c>
      <c r="M6" s="113">
        <f t="shared" ref="M6:M12" si="8">($L$4-SUM($K$5:$K$12))*J6</f>
        <v>19685.07010939511</v>
      </c>
      <c r="N6" s="95">
        <v>19308.804034332639</v>
      </c>
      <c r="O6" s="140">
        <f t="shared" ref="O6:O12" si="9">M6-N6</f>
        <v>376.26607506247092</v>
      </c>
    </row>
    <row r="7" spans="1:15" ht="15.75" x14ac:dyDescent="0.25">
      <c r="A7" s="106" t="s">
        <v>2</v>
      </c>
      <c r="B7" s="107">
        <v>11115</v>
      </c>
      <c r="C7" s="121">
        <v>201.28</v>
      </c>
      <c r="D7" s="108">
        <f t="shared" si="3"/>
        <v>4</v>
      </c>
      <c r="E7" s="132">
        <f>K28</f>
        <v>8</v>
      </c>
      <c r="F7" s="108">
        <f t="shared" si="4"/>
        <v>3</v>
      </c>
      <c r="G7" s="109">
        <f t="shared" si="5"/>
        <v>2.3971273291925464E-2</v>
      </c>
      <c r="H7" s="109">
        <f t="shared" si="1"/>
        <v>4.4444444444444446E-2</v>
      </c>
      <c r="I7" s="109">
        <f t="shared" si="6"/>
        <v>8.1081081081081086E-3</v>
      </c>
      <c r="J7" s="110">
        <f t="shared" si="7"/>
        <v>7.6523825844478019E-2</v>
      </c>
      <c r="K7" s="111">
        <v>0</v>
      </c>
      <c r="L7" s="112">
        <f t="shared" si="2"/>
        <v>7411.5621045152293</v>
      </c>
      <c r="M7" s="113">
        <f t="shared" si="8"/>
        <v>7411.5621045152293</v>
      </c>
      <c r="N7" s="95">
        <v>4986.8700034629474</v>
      </c>
      <c r="O7" s="140">
        <f t="shared" si="9"/>
        <v>2424.6921010522819</v>
      </c>
    </row>
    <row r="8" spans="1:15" ht="15.75" x14ac:dyDescent="0.25">
      <c r="A8" s="106" t="s">
        <v>65</v>
      </c>
      <c r="B8" s="107">
        <v>33504</v>
      </c>
      <c r="C8" s="121">
        <v>1388.43</v>
      </c>
      <c r="D8" s="108">
        <f t="shared" si="3"/>
        <v>7</v>
      </c>
      <c r="E8" s="132">
        <f t="shared" si="0"/>
        <v>57</v>
      </c>
      <c r="F8" s="108">
        <f t="shared" si="4"/>
        <v>7</v>
      </c>
      <c r="G8" s="109">
        <f t="shared" si="5"/>
        <v>7.2256728778467907E-2</v>
      </c>
      <c r="H8" s="109">
        <f t="shared" si="1"/>
        <v>7.7777777777777779E-2</v>
      </c>
      <c r="I8" s="109">
        <f t="shared" si="6"/>
        <v>1.891891891891892E-2</v>
      </c>
      <c r="J8" s="110">
        <f t="shared" si="7"/>
        <v>0.16895342547516459</v>
      </c>
      <c r="K8" s="111">
        <v>0</v>
      </c>
      <c r="L8" s="112">
        <f t="shared" si="2"/>
        <v>16363.646117546115</v>
      </c>
      <c r="M8" s="113">
        <f t="shared" si="8"/>
        <v>16363.646117546115</v>
      </c>
      <c r="N8" s="95">
        <v>19209.55438681112</v>
      </c>
      <c r="O8" s="140">
        <f t="shared" si="9"/>
        <v>-2845.9082692650045</v>
      </c>
    </row>
    <row r="9" spans="1:15" ht="15.75" x14ac:dyDescent="0.25">
      <c r="A9" s="106" t="s">
        <v>4</v>
      </c>
      <c r="B9" s="107">
        <v>16300</v>
      </c>
      <c r="C9" s="139">
        <v>0</v>
      </c>
      <c r="D9" s="138">
        <v>2</v>
      </c>
      <c r="E9" s="132">
        <f t="shared" si="0"/>
        <v>40</v>
      </c>
      <c r="F9" s="108">
        <f t="shared" si="4"/>
        <v>6</v>
      </c>
      <c r="G9" s="109">
        <f t="shared" si="5"/>
        <v>3.5153554175293304E-2</v>
      </c>
      <c r="H9" s="109">
        <f t="shared" si="1"/>
        <v>2.2222222222222223E-2</v>
      </c>
      <c r="I9" s="109">
        <f t="shared" si="6"/>
        <v>1.6216216216216217E-2</v>
      </c>
      <c r="J9" s="110">
        <f t="shared" si="7"/>
        <v>7.3591992613731741E-2</v>
      </c>
      <c r="K9" s="111">
        <v>0</v>
      </c>
      <c r="L9" s="112">
        <f t="shared" si="2"/>
        <v>7127.60526061776</v>
      </c>
      <c r="M9" s="113">
        <f t="shared" si="8"/>
        <v>7127.60526061776</v>
      </c>
      <c r="N9" s="95">
        <v>14623.181198674187</v>
      </c>
      <c r="O9" s="140">
        <f t="shared" si="9"/>
        <v>-7495.5759380564268</v>
      </c>
    </row>
    <row r="10" spans="1:15" ht="15.75" x14ac:dyDescent="0.25">
      <c r="A10" s="106" t="s">
        <v>5</v>
      </c>
      <c r="B10" s="107">
        <v>85426</v>
      </c>
      <c r="C10" s="121">
        <v>1231.71</v>
      </c>
      <c r="D10" s="108">
        <f t="shared" si="3"/>
        <v>6</v>
      </c>
      <c r="E10" s="132">
        <f t="shared" si="0"/>
        <v>39</v>
      </c>
      <c r="F10" s="108">
        <f t="shared" si="4"/>
        <v>5</v>
      </c>
      <c r="G10" s="109">
        <f t="shared" si="5"/>
        <v>0.18423481711525189</v>
      </c>
      <c r="H10" s="109">
        <f t="shared" si="1"/>
        <v>6.6666666666666666E-2</v>
      </c>
      <c r="I10" s="109">
        <f t="shared" si="6"/>
        <v>1.3513513513513514E-2</v>
      </c>
      <c r="J10" s="110">
        <f t="shared" si="7"/>
        <v>0.26441499729543205</v>
      </c>
      <c r="K10" s="111">
        <v>0</v>
      </c>
      <c r="L10" s="112">
        <f t="shared" si="2"/>
        <v>25609.385733054482</v>
      </c>
      <c r="M10" s="113">
        <f t="shared" si="8"/>
        <v>25609.385733054482</v>
      </c>
      <c r="N10" s="95">
        <v>22642.012992233107</v>
      </c>
      <c r="O10" s="140">
        <f t="shared" si="9"/>
        <v>2967.3727408213745</v>
      </c>
    </row>
    <row r="11" spans="1:15" ht="15.75" x14ac:dyDescent="0.25">
      <c r="A11" s="106" t="s">
        <v>6</v>
      </c>
      <c r="B11" s="107">
        <v>22745</v>
      </c>
      <c r="C11" s="121">
        <v>653.7299999999999</v>
      </c>
      <c r="D11" s="108">
        <f t="shared" si="3"/>
        <v>5</v>
      </c>
      <c r="E11" s="132">
        <f t="shared" si="0"/>
        <v>35</v>
      </c>
      <c r="F11" s="108">
        <f t="shared" si="4"/>
        <v>4</v>
      </c>
      <c r="G11" s="109">
        <f t="shared" si="5"/>
        <v>4.9053226363008968E-2</v>
      </c>
      <c r="H11" s="109">
        <f t="shared" si="1"/>
        <v>5.5555555555555559E-2</v>
      </c>
      <c r="I11" s="109">
        <f t="shared" si="6"/>
        <v>1.0810810810810811E-2</v>
      </c>
      <c r="J11" s="110">
        <f t="shared" si="7"/>
        <v>0.11541959272937534</v>
      </c>
      <c r="K11" s="111">
        <v>0</v>
      </c>
      <c r="L11" s="112">
        <f t="shared" si="2"/>
        <v>11178.73381461819</v>
      </c>
      <c r="M11" s="113">
        <f t="shared" si="8"/>
        <v>11178.73381461819</v>
      </c>
      <c r="N11" s="95">
        <v>14825.678465420007</v>
      </c>
      <c r="O11" s="140">
        <f t="shared" si="9"/>
        <v>-3646.9446508018173</v>
      </c>
    </row>
    <row r="12" spans="1:15" ht="15.75" x14ac:dyDescent="0.25">
      <c r="A12" s="106" t="s">
        <v>7</v>
      </c>
      <c r="B12" s="107">
        <v>11250</v>
      </c>
      <c r="C12" s="139">
        <v>0</v>
      </c>
      <c r="D12" s="138">
        <v>2</v>
      </c>
      <c r="E12" s="132">
        <f t="shared" si="0"/>
        <v>6</v>
      </c>
      <c r="F12" s="108">
        <f t="shared" si="4"/>
        <v>1</v>
      </c>
      <c r="G12" s="109">
        <f t="shared" si="5"/>
        <v>2.4262422360248448E-2</v>
      </c>
      <c r="H12" s="109">
        <f t="shared" si="1"/>
        <v>2.2222222222222223E-2</v>
      </c>
      <c r="I12" s="109">
        <f t="shared" si="6"/>
        <v>2.7027027027027029E-3</v>
      </c>
      <c r="J12" s="110">
        <f t="shared" si="7"/>
        <v>4.9187347285173377E-2</v>
      </c>
      <c r="K12" s="111">
        <v>0</v>
      </c>
      <c r="L12" s="112">
        <f t="shared" si="2"/>
        <v>4763.942146610897</v>
      </c>
      <c r="M12" s="113">
        <f t="shared" si="8"/>
        <v>4763.942146610897</v>
      </c>
      <c r="N12" s="95">
        <v>5136.7939423172065</v>
      </c>
      <c r="O12" s="140">
        <f t="shared" si="9"/>
        <v>-372.85179570630953</v>
      </c>
    </row>
    <row r="13" spans="1:15" ht="15.75" x14ac:dyDescent="0.25">
      <c r="A13" s="106" t="s">
        <v>68</v>
      </c>
      <c r="B13" s="134"/>
      <c r="C13" s="136">
        <f>F25</f>
        <v>0</v>
      </c>
      <c r="D13" s="114"/>
      <c r="E13" s="114">
        <f>J25</f>
        <v>4</v>
      </c>
      <c r="F13" s="114"/>
      <c r="G13" s="115"/>
      <c r="H13" s="115"/>
      <c r="I13" s="115"/>
      <c r="J13" s="115"/>
      <c r="K13" s="116">
        <v>0</v>
      </c>
      <c r="L13" s="135"/>
      <c r="M13" s="116">
        <f>K13</f>
        <v>0</v>
      </c>
      <c r="N13" s="99"/>
      <c r="O13" s="15" t="s">
        <v>73</v>
      </c>
    </row>
    <row r="14" spans="1:15" ht="15.75" x14ac:dyDescent="0.25">
      <c r="A14" s="106" t="s">
        <v>8</v>
      </c>
      <c r="B14" s="114"/>
      <c r="C14" s="114"/>
      <c r="D14" s="114"/>
      <c r="E14" s="114"/>
      <c r="F14" s="114"/>
      <c r="G14" s="115"/>
      <c r="H14" s="115"/>
      <c r="I14" s="115"/>
      <c r="J14" s="115"/>
      <c r="K14" s="116">
        <v>2700</v>
      </c>
      <c r="L14" s="119"/>
      <c r="M14" s="116">
        <f t="shared" ref="M14:M18" si="10">K14</f>
        <v>2700</v>
      </c>
      <c r="N14" s="99"/>
    </row>
    <row r="15" spans="1:15" ht="15.75" x14ac:dyDescent="0.25">
      <c r="A15" s="106" t="s">
        <v>9</v>
      </c>
      <c r="B15" s="114"/>
      <c r="C15" s="114"/>
      <c r="D15" s="114"/>
      <c r="E15" s="114"/>
      <c r="F15" s="114"/>
      <c r="G15" s="115"/>
      <c r="H15" s="115"/>
      <c r="I15" s="115"/>
      <c r="J15" s="115"/>
      <c r="K15" s="116">
        <v>1800</v>
      </c>
      <c r="L15" s="120"/>
      <c r="M15" s="116">
        <f t="shared" si="10"/>
        <v>1800</v>
      </c>
      <c r="N15" s="99"/>
    </row>
    <row r="16" spans="1:15" ht="15.75" x14ac:dyDescent="0.25">
      <c r="A16" s="106" t="s">
        <v>10</v>
      </c>
      <c r="B16" s="114"/>
      <c r="C16" s="114"/>
      <c r="D16" s="114"/>
      <c r="E16" s="114"/>
      <c r="F16" s="114"/>
      <c r="G16" s="115"/>
      <c r="H16" s="115"/>
      <c r="I16" s="115"/>
      <c r="J16" s="115"/>
      <c r="K16" s="116">
        <v>2700</v>
      </c>
      <c r="L16" s="120"/>
      <c r="M16" s="116">
        <f t="shared" si="10"/>
        <v>2700</v>
      </c>
      <c r="N16" s="99"/>
    </row>
    <row r="17" spans="1:14" ht="15.75" x14ac:dyDescent="0.25">
      <c r="A17" s="106" t="s">
        <v>11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6">
        <v>1350</v>
      </c>
      <c r="L17" s="120"/>
      <c r="M17" s="116">
        <f t="shared" si="10"/>
        <v>1350</v>
      </c>
      <c r="N17" s="99"/>
    </row>
    <row r="18" spans="1:14" ht="15.75" x14ac:dyDescent="0.25">
      <c r="A18" s="117" t="s">
        <v>64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8">
        <v>50708</v>
      </c>
      <c r="L18" s="120"/>
      <c r="M18" s="116">
        <f t="shared" si="10"/>
        <v>50708</v>
      </c>
      <c r="N18" s="100"/>
    </row>
    <row r="19" spans="1:14" ht="15.75" x14ac:dyDescent="0.25">
      <c r="A19" s="117" t="s">
        <v>72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8">
        <v>8689</v>
      </c>
      <c r="L19" s="120"/>
      <c r="M19" s="116">
        <f t="shared" ref="M19" si="11">K19</f>
        <v>8689</v>
      </c>
      <c r="N19" s="100"/>
    </row>
    <row r="20" spans="1:14" ht="15.75" x14ac:dyDescent="0.25">
      <c r="A20" s="137" t="s">
        <v>70</v>
      </c>
    </row>
    <row r="22" spans="1:14" x14ac:dyDescent="0.25">
      <c r="A22" s="153" t="s">
        <v>60</v>
      </c>
      <c r="B22" s="154" t="s">
        <v>66</v>
      </c>
      <c r="C22" s="154"/>
      <c r="D22" s="154"/>
      <c r="E22" s="154"/>
      <c r="F22" s="154"/>
      <c r="G22" s="154" t="s">
        <v>61</v>
      </c>
      <c r="H22" s="154"/>
      <c r="I22" s="154"/>
      <c r="J22" s="154"/>
      <c r="K22" s="154"/>
    </row>
    <row r="23" spans="1:14" ht="15.75" customHeight="1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</row>
    <row r="24" spans="1:14" ht="15.75" x14ac:dyDescent="0.25">
      <c r="A24" s="153"/>
      <c r="B24" s="122">
        <v>2015</v>
      </c>
      <c r="C24" s="122">
        <v>2016</v>
      </c>
      <c r="D24" s="122">
        <v>2017</v>
      </c>
      <c r="E24" s="122">
        <v>2018</v>
      </c>
      <c r="F24" s="123" t="s">
        <v>40</v>
      </c>
      <c r="G24" s="122">
        <v>2015</v>
      </c>
      <c r="H24" s="122">
        <v>2016</v>
      </c>
      <c r="I24" s="122">
        <v>2017</v>
      </c>
      <c r="J24" s="122">
        <v>2018</v>
      </c>
      <c r="K24" s="123" t="s">
        <v>40</v>
      </c>
    </row>
    <row r="25" spans="1:14" ht="15.75" x14ac:dyDescent="0.25">
      <c r="A25" s="106" t="s">
        <v>68</v>
      </c>
      <c r="B25" s="125" t="s">
        <v>69</v>
      </c>
      <c r="C25" s="125" t="s">
        <v>69</v>
      </c>
      <c r="D25" s="125" t="s">
        <v>69</v>
      </c>
      <c r="E25" s="125">
        <v>0</v>
      </c>
      <c r="F25" s="126">
        <f>SUM(B25:E25)</f>
        <v>0</v>
      </c>
      <c r="G25" s="125" t="s">
        <v>69</v>
      </c>
      <c r="H25" s="125" t="s">
        <v>69</v>
      </c>
      <c r="I25" s="125" t="s">
        <v>69</v>
      </c>
      <c r="J25" s="125">
        <v>4</v>
      </c>
      <c r="K25" s="131">
        <f>SUM(G25:J25)</f>
        <v>4</v>
      </c>
    </row>
    <row r="26" spans="1:14" ht="15.75" x14ac:dyDescent="0.25">
      <c r="A26" s="124" t="s">
        <v>0</v>
      </c>
      <c r="B26" s="125">
        <v>0</v>
      </c>
      <c r="C26" s="125">
        <v>0</v>
      </c>
      <c r="D26" s="125">
        <v>0</v>
      </c>
      <c r="E26" s="125">
        <v>0</v>
      </c>
      <c r="F26" s="126">
        <f>SUM(B26:E26)</f>
        <v>0</v>
      </c>
      <c r="G26" s="125">
        <v>4</v>
      </c>
      <c r="H26" s="125">
        <v>2</v>
      </c>
      <c r="I26" s="125">
        <v>2</v>
      </c>
      <c r="J26" s="125">
        <v>0</v>
      </c>
      <c r="K26" s="131">
        <f>SUM(G26:J26)</f>
        <v>8</v>
      </c>
    </row>
    <row r="27" spans="1:14" ht="15.75" x14ac:dyDescent="0.25">
      <c r="A27" s="124" t="s">
        <v>1</v>
      </c>
      <c r="B27" s="125">
        <v>492.47</v>
      </c>
      <c r="C27" s="125">
        <v>989.85</v>
      </c>
      <c r="D27" s="125">
        <v>1301.17</v>
      </c>
      <c r="E27" s="127">
        <v>2305.4499999999998</v>
      </c>
      <c r="F27" s="126">
        <f t="shared" ref="F27:F33" si="12">SUM(B27:E27)</f>
        <v>5088.9400000000005</v>
      </c>
      <c r="G27" s="125">
        <v>24</v>
      </c>
      <c r="H27" s="125">
        <v>26</v>
      </c>
      <c r="I27" s="125">
        <v>40</v>
      </c>
      <c r="J27" s="125">
        <v>28</v>
      </c>
      <c r="K27" s="131">
        <f t="shared" ref="K27:K33" si="13">SUM(G27:J27)</f>
        <v>118</v>
      </c>
    </row>
    <row r="28" spans="1:14" ht="15.75" x14ac:dyDescent="0.25">
      <c r="A28" s="124" t="s">
        <v>2</v>
      </c>
      <c r="B28" s="125">
        <v>0</v>
      </c>
      <c r="C28" s="125">
        <v>97.75</v>
      </c>
      <c r="D28" s="125">
        <v>103.53</v>
      </c>
      <c r="E28" s="125">
        <v>0</v>
      </c>
      <c r="F28" s="126">
        <f t="shared" si="12"/>
        <v>201.28</v>
      </c>
      <c r="G28" s="125">
        <v>2</v>
      </c>
      <c r="H28" s="125">
        <v>2</v>
      </c>
      <c r="I28" s="125">
        <v>2</v>
      </c>
      <c r="J28" s="125">
        <v>2</v>
      </c>
      <c r="K28" s="131">
        <f t="shared" si="13"/>
        <v>8</v>
      </c>
    </row>
    <row r="29" spans="1:14" ht="15.75" x14ac:dyDescent="0.25">
      <c r="A29" s="124" t="s">
        <v>65</v>
      </c>
      <c r="B29" s="125">
        <v>215.57</v>
      </c>
      <c r="C29" s="125">
        <v>951.33</v>
      </c>
      <c r="D29" s="125">
        <v>159.16999999999999</v>
      </c>
      <c r="E29" s="125">
        <v>62.36</v>
      </c>
      <c r="F29" s="126">
        <f t="shared" si="12"/>
        <v>1388.43</v>
      </c>
      <c r="G29" s="125">
        <v>14</v>
      </c>
      <c r="H29" s="125">
        <v>14</v>
      </c>
      <c r="I29" s="125">
        <v>15</v>
      </c>
      <c r="J29" s="125">
        <v>14</v>
      </c>
      <c r="K29" s="131">
        <f t="shared" si="13"/>
        <v>57</v>
      </c>
    </row>
    <row r="30" spans="1:14" ht="15.75" x14ac:dyDescent="0.25">
      <c r="A30" s="124" t="s">
        <v>4</v>
      </c>
      <c r="B30" s="125">
        <v>0</v>
      </c>
      <c r="C30" s="125">
        <v>0</v>
      </c>
      <c r="D30" s="125">
        <v>0</v>
      </c>
      <c r="E30" s="125">
        <v>0</v>
      </c>
      <c r="F30" s="126">
        <f t="shared" si="12"/>
        <v>0</v>
      </c>
      <c r="G30" s="125">
        <v>15</v>
      </c>
      <c r="H30" s="125">
        <v>8</v>
      </c>
      <c r="I30" s="125">
        <v>11</v>
      </c>
      <c r="J30" s="125">
        <v>6</v>
      </c>
      <c r="K30" s="131">
        <f t="shared" si="13"/>
        <v>40</v>
      </c>
    </row>
    <row r="31" spans="1:14" ht="15.75" x14ac:dyDescent="0.25">
      <c r="A31" s="124" t="s">
        <v>5</v>
      </c>
      <c r="B31" s="125">
        <v>259.58999999999997</v>
      </c>
      <c r="C31" s="125">
        <v>274.39999999999998</v>
      </c>
      <c r="D31" s="125">
        <v>274.17</v>
      </c>
      <c r="E31" s="125">
        <v>423.55</v>
      </c>
      <c r="F31" s="126">
        <f t="shared" si="12"/>
        <v>1231.71</v>
      </c>
      <c r="G31" s="125">
        <v>9</v>
      </c>
      <c r="H31" s="125">
        <v>7</v>
      </c>
      <c r="I31" s="125">
        <v>12</v>
      </c>
      <c r="J31" s="125">
        <v>11</v>
      </c>
      <c r="K31" s="131">
        <f t="shared" si="13"/>
        <v>39</v>
      </c>
    </row>
    <row r="32" spans="1:14" ht="15.75" x14ac:dyDescent="0.25">
      <c r="A32" s="124" t="s">
        <v>6</v>
      </c>
      <c r="B32" s="125">
        <v>290.37</v>
      </c>
      <c r="C32" s="125">
        <v>88.68</v>
      </c>
      <c r="D32" s="125">
        <v>217.76</v>
      </c>
      <c r="E32" s="125">
        <v>56.92</v>
      </c>
      <c r="F32" s="126">
        <f t="shared" si="12"/>
        <v>653.7299999999999</v>
      </c>
      <c r="G32" s="125">
        <v>9</v>
      </c>
      <c r="H32" s="125">
        <v>11</v>
      </c>
      <c r="I32" s="125">
        <v>8</v>
      </c>
      <c r="J32" s="125">
        <v>7</v>
      </c>
      <c r="K32" s="131">
        <f t="shared" si="13"/>
        <v>35</v>
      </c>
    </row>
    <row r="33" spans="1:11" ht="16.5" thickBot="1" x14ac:dyDescent="0.3">
      <c r="A33" s="124" t="s">
        <v>7</v>
      </c>
      <c r="B33" s="125">
        <v>0</v>
      </c>
      <c r="C33" s="125">
        <v>0</v>
      </c>
      <c r="D33" s="125">
        <v>0</v>
      </c>
      <c r="E33" s="125">
        <v>0</v>
      </c>
      <c r="F33" s="126">
        <f t="shared" si="12"/>
        <v>0</v>
      </c>
      <c r="G33" s="125">
        <v>4</v>
      </c>
      <c r="H33" s="125">
        <v>0</v>
      </c>
      <c r="I33" s="125">
        <v>1</v>
      </c>
      <c r="J33" s="125">
        <v>1</v>
      </c>
      <c r="K33" s="131">
        <f t="shared" si="13"/>
        <v>6</v>
      </c>
    </row>
    <row r="34" spans="1:11" ht="16.5" thickBot="1" x14ac:dyDescent="0.3">
      <c r="A34" s="128" t="s">
        <v>67</v>
      </c>
      <c r="B34" s="125">
        <f t="shared" ref="B34:K34" si="14">SUM(B26:B33)</f>
        <v>1258</v>
      </c>
      <c r="C34" s="125">
        <f t="shared" si="14"/>
        <v>2402.0099999999998</v>
      </c>
      <c r="D34" s="125">
        <f t="shared" si="14"/>
        <v>2055.8000000000002</v>
      </c>
      <c r="E34" s="129">
        <f t="shared" si="14"/>
        <v>2848.28</v>
      </c>
      <c r="F34" s="130">
        <f t="shared" si="14"/>
        <v>8564.09</v>
      </c>
      <c r="G34" s="125">
        <f t="shared" si="14"/>
        <v>81</v>
      </c>
      <c r="H34" s="125">
        <f t="shared" si="14"/>
        <v>70</v>
      </c>
      <c r="I34" s="125">
        <f t="shared" si="14"/>
        <v>91</v>
      </c>
      <c r="J34" s="129">
        <f t="shared" si="14"/>
        <v>69</v>
      </c>
      <c r="K34" s="130">
        <f t="shared" si="14"/>
        <v>311</v>
      </c>
    </row>
  </sheetData>
  <mergeCells count="15">
    <mergeCell ref="A22:A24"/>
    <mergeCell ref="B22:F23"/>
    <mergeCell ref="G22:K23"/>
    <mergeCell ref="J2:J4"/>
    <mergeCell ref="K2:K3"/>
    <mergeCell ref="L2:L3"/>
    <mergeCell ref="M2:M3"/>
    <mergeCell ref="N2:N4"/>
    <mergeCell ref="E3:E4"/>
    <mergeCell ref="A2:A4"/>
    <mergeCell ref="C2:D2"/>
    <mergeCell ref="E2:F2"/>
    <mergeCell ref="G2:G4"/>
    <mergeCell ref="H2:H4"/>
    <mergeCell ref="I2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zoomScaleNormal="100" workbookViewId="0">
      <selection activeCell="F5" sqref="F5"/>
    </sheetView>
  </sheetViews>
  <sheetFormatPr defaultRowHeight="15" x14ac:dyDescent="0.25"/>
  <cols>
    <col min="3" max="3" width="11" customWidth="1"/>
    <col min="4" max="4" width="7.7109375" customWidth="1"/>
    <col min="5" max="5" width="11.5703125" customWidth="1"/>
    <col min="6" max="6" width="8.140625" customWidth="1"/>
    <col min="7" max="7" width="11.28515625" customWidth="1"/>
    <col min="8" max="8" width="6.85546875" customWidth="1"/>
    <col min="9" max="9" width="11.42578125" customWidth="1"/>
    <col min="10" max="10" width="6.85546875" customWidth="1"/>
    <col min="11" max="11" width="10.42578125" customWidth="1"/>
    <col min="12" max="12" width="7.7109375" customWidth="1"/>
    <col min="13" max="13" width="11.140625" customWidth="1"/>
    <col min="14" max="14" width="7.42578125" customWidth="1"/>
    <col min="15" max="15" width="11.7109375" customWidth="1"/>
    <col min="16" max="16" width="7.7109375" customWidth="1"/>
    <col min="17" max="17" width="12.140625" customWidth="1"/>
    <col min="18" max="18" width="11.140625" customWidth="1"/>
  </cols>
  <sheetData>
    <row r="2" spans="1:19" x14ac:dyDescent="0.25">
      <c r="G2" s="159" t="s">
        <v>71</v>
      </c>
      <c r="H2" s="159"/>
      <c r="I2" s="159"/>
      <c r="J2" s="159"/>
      <c r="K2" s="159"/>
      <c r="L2" s="159"/>
      <c r="M2" s="159"/>
    </row>
    <row r="3" spans="1:19" x14ac:dyDescent="0.25">
      <c r="G3" s="1"/>
      <c r="H3" s="1"/>
      <c r="I3" s="1"/>
      <c r="J3" s="1"/>
      <c r="K3" s="1"/>
      <c r="L3" s="1"/>
      <c r="M3" s="1"/>
    </row>
    <row r="4" spans="1:19" x14ac:dyDescent="0.25">
      <c r="E4" s="2" t="s">
        <v>23</v>
      </c>
      <c r="F4" s="2" t="s">
        <v>27</v>
      </c>
      <c r="G4" s="160" t="s">
        <v>28</v>
      </c>
      <c r="H4" s="160"/>
      <c r="I4" s="160"/>
      <c r="J4" s="160"/>
      <c r="K4" s="20"/>
    </row>
    <row r="5" spans="1:19" x14ac:dyDescent="0.25">
      <c r="E5" s="3">
        <v>164800</v>
      </c>
      <c r="F5" s="3"/>
      <c r="G5" s="161">
        <f>E5-F5</f>
        <v>164800</v>
      </c>
      <c r="H5" s="161"/>
      <c r="I5" s="161"/>
      <c r="J5" s="161"/>
      <c r="K5" s="21"/>
      <c r="L5" s="7"/>
      <c r="M5" s="7"/>
      <c r="N5" s="7"/>
      <c r="O5" s="7"/>
    </row>
    <row r="8" spans="1:19" ht="15.75" thickBot="1" x14ac:dyDescent="0.3">
      <c r="A8" s="13"/>
      <c r="B8" s="13"/>
      <c r="C8" s="9" t="s">
        <v>12</v>
      </c>
      <c r="D8" s="9" t="s">
        <v>29</v>
      </c>
      <c r="E8" s="9" t="s">
        <v>17</v>
      </c>
      <c r="F8" s="9" t="s">
        <v>29</v>
      </c>
      <c r="G8" s="9" t="s">
        <v>18</v>
      </c>
      <c r="H8" s="9" t="s">
        <v>29</v>
      </c>
      <c r="I8" s="9" t="s">
        <v>14</v>
      </c>
      <c r="J8" s="9" t="s">
        <v>29</v>
      </c>
      <c r="K8" s="9" t="s">
        <v>15</v>
      </c>
      <c r="L8" s="9" t="s">
        <v>29</v>
      </c>
      <c r="M8" s="9" t="s">
        <v>39</v>
      </c>
      <c r="N8" s="9" t="s">
        <v>29</v>
      </c>
      <c r="O8" s="9" t="s">
        <v>16</v>
      </c>
      <c r="P8" s="9" t="s">
        <v>29</v>
      </c>
      <c r="Q8" s="9" t="s">
        <v>19</v>
      </c>
      <c r="R8" s="9" t="s">
        <v>29</v>
      </c>
    </row>
    <row r="9" spans="1:19" ht="15.75" thickBot="1" x14ac:dyDescent="0.3">
      <c r="A9" s="16">
        <v>2018</v>
      </c>
      <c r="B9" s="10" t="s">
        <v>24</v>
      </c>
      <c r="C9" s="26">
        <v>15000</v>
      </c>
      <c r="D9" s="11"/>
      <c r="E9" s="26">
        <v>23842</v>
      </c>
      <c r="F9" s="11"/>
      <c r="G9" s="26">
        <v>14000</v>
      </c>
      <c r="H9" s="11"/>
      <c r="I9" s="28">
        <v>18000</v>
      </c>
      <c r="J9" s="11"/>
      <c r="K9" s="28">
        <v>19000</v>
      </c>
      <c r="L9" s="11"/>
      <c r="M9" s="28">
        <v>4500</v>
      </c>
      <c r="N9" s="11"/>
      <c r="O9" s="28">
        <v>14000</v>
      </c>
      <c r="P9" s="11"/>
      <c r="Q9" s="28">
        <v>4800</v>
      </c>
      <c r="R9" s="11"/>
    </row>
    <row r="10" spans="1:19" ht="15.75" thickBot="1" x14ac:dyDescent="0.3">
      <c r="A10" s="133">
        <v>2019</v>
      </c>
      <c r="B10" s="22" t="s">
        <v>24</v>
      </c>
      <c r="C10" s="26"/>
      <c r="D10" s="27">
        <f>(C10-C9)/C9</f>
        <v>-1</v>
      </c>
      <c r="E10" s="26"/>
      <c r="F10" s="27">
        <f>(E10-E9)/E9</f>
        <v>-1</v>
      </c>
      <c r="G10" s="26"/>
      <c r="H10" s="27">
        <f>(G10-G9)/G9</f>
        <v>-1</v>
      </c>
      <c r="I10" s="28"/>
      <c r="J10" s="27">
        <f>(I10-I9)/I9</f>
        <v>-1</v>
      </c>
      <c r="K10" s="28"/>
      <c r="L10" s="27">
        <f>(K10-K9)/K9</f>
        <v>-1</v>
      </c>
      <c r="M10" s="28"/>
      <c r="N10" s="27">
        <f>(M10-M9)/M9</f>
        <v>-1</v>
      </c>
      <c r="O10" s="28"/>
      <c r="P10" s="27">
        <f>(O10-O9)/O9</f>
        <v>-1</v>
      </c>
      <c r="Q10" s="28"/>
      <c r="R10" s="23">
        <f>(Q10-Q9)/Q9</f>
        <v>-1</v>
      </c>
    </row>
    <row r="11" spans="1:19" ht="15.75" x14ac:dyDescent="0.25">
      <c r="A11" s="158" t="s">
        <v>47</v>
      </c>
      <c r="B11" s="158"/>
      <c r="C11" s="25">
        <v>48300</v>
      </c>
      <c r="D11" s="12" t="str">
        <f>IF(C10&gt;C11,"+","-")</f>
        <v>-</v>
      </c>
      <c r="E11" s="25">
        <v>74000</v>
      </c>
      <c r="F11" s="12" t="str">
        <f>IF(E10&gt;E11,"+","-")</f>
        <v>-</v>
      </c>
      <c r="G11" s="25">
        <v>32000</v>
      </c>
      <c r="H11" s="12" t="str">
        <f>IF(G10&gt;G11,"+","-")</f>
        <v>-</v>
      </c>
      <c r="I11" s="25">
        <v>44772</v>
      </c>
      <c r="J11" s="12" t="str">
        <f>IF(I10&gt;I11,"+","-")</f>
        <v>-</v>
      </c>
      <c r="K11" s="25">
        <v>57000</v>
      </c>
      <c r="L11" s="12" t="str">
        <f>IF(K10&gt;K11,"+","-")</f>
        <v>-</v>
      </c>
      <c r="M11" s="25"/>
      <c r="N11" s="12" t="str">
        <f>IF(M10&gt;M11,"+","-")</f>
        <v>-</v>
      </c>
      <c r="O11" s="25">
        <v>56200</v>
      </c>
      <c r="P11" s="12" t="str">
        <f>IF(O10&gt;O11,"+","-")</f>
        <v>-</v>
      </c>
      <c r="Q11" s="25">
        <v>37600</v>
      </c>
      <c r="R11" s="12" t="str">
        <f>IF(Q10&gt;Q11,"+","-")</f>
        <v>-</v>
      </c>
    </row>
    <row r="12" spans="1:19" x14ac:dyDescent="0.25">
      <c r="A12" s="158" t="s">
        <v>46</v>
      </c>
      <c r="B12" s="158"/>
      <c r="C12" s="11"/>
      <c r="D12" s="57"/>
      <c r="E12" s="11"/>
      <c r="F12" s="57"/>
      <c r="G12" s="11"/>
      <c r="H12" s="57"/>
      <c r="I12" s="11"/>
      <c r="J12" s="57"/>
      <c r="K12" s="11"/>
      <c r="L12" s="57"/>
      <c r="M12" s="11"/>
      <c r="N12" s="57"/>
      <c r="O12" s="11"/>
      <c r="P12" s="57"/>
      <c r="Q12" s="11"/>
      <c r="R12" s="57"/>
      <c r="S12" s="14"/>
    </row>
    <row r="13" spans="1:19" ht="15.75" thickBot="1" x14ac:dyDescent="0.3">
      <c r="C13" s="55" t="s">
        <v>13</v>
      </c>
      <c r="D13" s="55" t="s">
        <v>29</v>
      </c>
      <c r="E13" s="55" t="s">
        <v>20</v>
      </c>
      <c r="F13" s="55" t="s">
        <v>29</v>
      </c>
      <c r="G13" s="55" t="s">
        <v>21</v>
      </c>
      <c r="H13" s="55" t="s">
        <v>29</v>
      </c>
      <c r="I13" s="55" t="s">
        <v>22</v>
      </c>
      <c r="J13" s="55" t="s">
        <v>29</v>
      </c>
      <c r="K13" s="56" t="s">
        <v>23</v>
      </c>
      <c r="L13" s="8"/>
    </row>
    <row r="14" spans="1:19" ht="15.75" thickBot="1" x14ac:dyDescent="0.3">
      <c r="A14" s="16">
        <v>2017</v>
      </c>
      <c r="B14" s="10" t="s">
        <v>24</v>
      </c>
      <c r="C14" s="26">
        <v>2500</v>
      </c>
      <c r="D14" s="11"/>
      <c r="E14" s="54">
        <v>2000</v>
      </c>
      <c r="F14" s="11"/>
      <c r="G14" s="24">
        <v>3000</v>
      </c>
      <c r="H14" s="11"/>
      <c r="I14" s="54">
        <v>1500</v>
      </c>
      <c r="J14" s="11"/>
      <c r="K14" s="29">
        <f>SUM(C9,E9,G9,I9,K9,M9,O9,Q9,C14,E14,G14,I14)</f>
        <v>122142</v>
      </c>
      <c r="L14" s="8"/>
      <c r="Q14" s="15"/>
    </row>
    <row r="15" spans="1:19" ht="15.75" thickBot="1" x14ac:dyDescent="0.3">
      <c r="A15" s="133">
        <v>2018</v>
      </c>
      <c r="B15" s="22" t="s">
        <v>24</v>
      </c>
      <c r="C15" s="26"/>
      <c r="D15" s="27">
        <f>(C15-C14)/C14</f>
        <v>-1</v>
      </c>
      <c r="E15" s="54"/>
      <c r="F15" s="27">
        <f>(E15-E14)/E14</f>
        <v>-1</v>
      </c>
      <c r="G15" s="54"/>
      <c r="H15" s="27">
        <f t="shared" ref="H15:J15" si="0">(G15-G14)/G14</f>
        <v>-1</v>
      </c>
      <c r="I15" s="54"/>
      <c r="J15" s="27">
        <f t="shared" si="0"/>
        <v>-1</v>
      </c>
      <c r="K15" s="31">
        <f>SUM(C10,E10,G10,I10,K10,M10,O10,Q10,C15,E15,G15,I15)</f>
        <v>0</v>
      </c>
      <c r="L15" s="8"/>
    </row>
    <row r="16" spans="1:19" ht="15.75" x14ac:dyDescent="0.25">
      <c r="A16" s="158" t="s">
        <v>30</v>
      </c>
      <c r="B16" s="158"/>
      <c r="C16" s="25">
        <v>5000</v>
      </c>
      <c r="D16" s="12" t="str">
        <f>IF(C15&gt;C16,"+","-")</f>
        <v>-</v>
      </c>
      <c r="E16" s="25">
        <v>3000</v>
      </c>
      <c r="F16" s="32" t="str">
        <f>IF(E15&gt;E16,"+","-")</f>
        <v>-</v>
      </c>
      <c r="G16" s="25"/>
      <c r="H16" s="12" t="str">
        <f>IF(G15&gt;G16,"+","-")</f>
        <v>-</v>
      </c>
      <c r="I16" s="25"/>
      <c r="J16" s="12" t="str">
        <f>IF(I15&gt;I16,"+","-")</f>
        <v>-</v>
      </c>
      <c r="K16" s="30">
        <f>SUM(C11,E11,G11,I11,K11,M11,O11,Q11,C16,E16,G16,I16)</f>
        <v>357872</v>
      </c>
    </row>
  </sheetData>
  <mergeCells count="6">
    <mergeCell ref="A16:B16"/>
    <mergeCell ref="G2:M2"/>
    <mergeCell ref="G4:J4"/>
    <mergeCell ref="G5:J5"/>
    <mergeCell ref="A11:B11"/>
    <mergeCell ref="A12:B12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zoomScale="91" zoomScaleNormal="91" workbookViewId="0">
      <selection activeCell="P27" sqref="P27"/>
    </sheetView>
  </sheetViews>
  <sheetFormatPr defaultRowHeight="15" x14ac:dyDescent="0.25"/>
  <cols>
    <col min="4" max="4" width="10.42578125" customWidth="1"/>
    <col min="16" max="16" width="11" customWidth="1"/>
    <col min="17" max="17" width="10.42578125" customWidth="1"/>
    <col min="18" max="18" width="8.28515625" customWidth="1"/>
    <col min="19" max="19" width="7.85546875" customWidth="1"/>
  </cols>
  <sheetData>
    <row r="1" spans="2:19" ht="15.75" thickBot="1" x14ac:dyDescent="0.3"/>
    <row r="2" spans="2:19" ht="76.5" thickBot="1" x14ac:dyDescent="0.3">
      <c r="C2" s="45"/>
      <c r="D2" s="60" t="s">
        <v>12</v>
      </c>
      <c r="E2" s="63" t="s">
        <v>36</v>
      </c>
      <c r="F2" s="63" t="s">
        <v>35</v>
      </c>
      <c r="G2" s="63" t="s">
        <v>15</v>
      </c>
      <c r="H2" s="63" t="s">
        <v>16</v>
      </c>
      <c r="I2" s="61" t="s">
        <v>17</v>
      </c>
      <c r="J2" s="63" t="s">
        <v>18</v>
      </c>
      <c r="K2" s="63" t="s">
        <v>34</v>
      </c>
      <c r="L2" s="61" t="s">
        <v>19</v>
      </c>
      <c r="M2" s="63" t="s">
        <v>33</v>
      </c>
      <c r="N2" s="61" t="s">
        <v>32</v>
      </c>
      <c r="O2" s="63" t="s">
        <v>31</v>
      </c>
      <c r="P2" s="62" t="s">
        <v>23</v>
      </c>
      <c r="Q2" s="50" t="s">
        <v>27</v>
      </c>
      <c r="R2" s="35" t="s">
        <v>37</v>
      </c>
      <c r="S2" s="36" t="s">
        <v>44</v>
      </c>
    </row>
    <row r="3" spans="2:19" x14ac:dyDescent="0.25">
      <c r="C3" s="59">
        <v>2019</v>
      </c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50"/>
      <c r="R3" s="35"/>
      <c r="S3" s="36"/>
    </row>
    <row r="4" spans="2:19" x14ac:dyDescent="0.25">
      <c r="B4" s="162" t="s">
        <v>24</v>
      </c>
      <c r="C4" s="38">
        <v>2018</v>
      </c>
      <c r="D4" s="64">
        <v>15000</v>
      </c>
      <c r="E4" s="65">
        <v>2500</v>
      </c>
      <c r="F4" s="65">
        <v>18000</v>
      </c>
      <c r="G4" s="65">
        <v>19000</v>
      </c>
      <c r="H4" s="65">
        <v>14000</v>
      </c>
      <c r="I4" s="65">
        <v>23842</v>
      </c>
      <c r="J4" s="65">
        <v>14000</v>
      </c>
      <c r="K4" s="65">
        <v>4500</v>
      </c>
      <c r="L4" s="65">
        <v>4800</v>
      </c>
      <c r="M4" s="65">
        <v>2000</v>
      </c>
      <c r="N4" s="65">
        <v>3000</v>
      </c>
      <c r="O4" s="65">
        <v>1500</v>
      </c>
      <c r="P4" s="66">
        <f t="shared" ref="P4:P17" si="0">SUM(D4:O4)</f>
        <v>122142</v>
      </c>
      <c r="Q4" s="67">
        <v>49554</v>
      </c>
      <c r="R4" s="2"/>
      <c r="S4" s="2">
        <f>SUM(D4:O4,Q4)</f>
        <v>171696</v>
      </c>
    </row>
    <row r="5" spans="2:19" x14ac:dyDescent="0.25">
      <c r="B5" s="162"/>
      <c r="C5" s="38">
        <v>2017</v>
      </c>
      <c r="D5" s="41">
        <v>22612</v>
      </c>
      <c r="E5" s="19">
        <v>3500</v>
      </c>
      <c r="F5" s="19">
        <v>22000</v>
      </c>
      <c r="G5" s="19">
        <v>25084</v>
      </c>
      <c r="H5" s="19">
        <v>18000</v>
      </c>
      <c r="I5" s="19">
        <v>36309</v>
      </c>
      <c r="J5" s="19">
        <v>14820</v>
      </c>
      <c r="K5" s="19">
        <v>6400</v>
      </c>
      <c r="L5" s="19">
        <v>8275</v>
      </c>
      <c r="M5" s="19">
        <v>3000</v>
      </c>
      <c r="N5" s="19">
        <v>3000</v>
      </c>
      <c r="O5" s="19">
        <v>2500</v>
      </c>
      <c r="P5" s="46">
        <f>SUM(D5:O5)</f>
        <v>165500</v>
      </c>
      <c r="Q5" s="51">
        <v>58724.41</v>
      </c>
      <c r="R5" s="2">
        <f>227500-S5</f>
        <v>3275.5899999999965</v>
      </c>
      <c r="S5" s="2">
        <f>SUM(P5,Q5)</f>
        <v>224224.41</v>
      </c>
    </row>
    <row r="6" spans="2:19" x14ac:dyDescent="0.25">
      <c r="B6" s="162"/>
      <c r="C6" s="39">
        <v>2016</v>
      </c>
      <c r="D6" s="42">
        <v>13395</v>
      </c>
      <c r="E6" s="4">
        <v>2500</v>
      </c>
      <c r="F6" s="4">
        <v>20000</v>
      </c>
      <c r="G6" s="4">
        <v>33488</v>
      </c>
      <c r="H6" s="4">
        <v>18237</v>
      </c>
      <c r="I6" s="4">
        <v>35994</v>
      </c>
      <c r="J6" s="4">
        <v>13951</v>
      </c>
      <c r="K6" s="4">
        <v>5024.08</v>
      </c>
      <c r="L6" s="4">
        <v>8602</v>
      </c>
      <c r="M6" s="4">
        <v>2000</v>
      </c>
      <c r="N6" s="4">
        <v>2000</v>
      </c>
      <c r="O6" s="4">
        <v>1500</v>
      </c>
      <c r="P6" s="47">
        <f t="shared" si="0"/>
        <v>156691.07999999999</v>
      </c>
      <c r="Q6" s="52">
        <v>40688.92</v>
      </c>
      <c r="R6" s="2"/>
      <c r="S6" s="2">
        <f t="shared" ref="S6:S7" si="1">SUM(P6,Q6)</f>
        <v>197380</v>
      </c>
    </row>
    <row r="7" spans="2:19" x14ac:dyDescent="0.25">
      <c r="B7" s="162"/>
      <c r="C7" s="39">
        <v>2015</v>
      </c>
      <c r="D7" s="42">
        <v>21100</v>
      </c>
      <c r="E7" s="4">
        <v>2558.14</v>
      </c>
      <c r="F7" s="4">
        <v>10250.799999999999</v>
      </c>
      <c r="G7" s="4">
        <v>15828</v>
      </c>
      <c r="H7" s="4">
        <v>12565</v>
      </c>
      <c r="I7" s="4">
        <v>34889</v>
      </c>
      <c r="J7" s="4">
        <v>16653.5</v>
      </c>
      <c r="K7" s="4">
        <v>5111</v>
      </c>
      <c r="L7" s="4">
        <v>7408</v>
      </c>
      <c r="M7" s="4">
        <v>2558.14</v>
      </c>
      <c r="N7" s="4">
        <v>5116.28</v>
      </c>
      <c r="O7" s="4">
        <v>2558.14</v>
      </c>
      <c r="P7" s="47">
        <f t="shared" si="0"/>
        <v>136596.00000000003</v>
      </c>
      <c r="Q7" s="52">
        <v>37176</v>
      </c>
      <c r="R7" s="2"/>
      <c r="S7" s="2">
        <f t="shared" si="1"/>
        <v>173772.00000000003</v>
      </c>
    </row>
    <row r="8" spans="2:19" x14ac:dyDescent="0.25">
      <c r="B8" s="162"/>
      <c r="C8" s="39">
        <v>2014</v>
      </c>
      <c r="D8" s="43">
        <f>57336/3.4528</f>
        <v>16605.653382761819</v>
      </c>
      <c r="E8" s="34">
        <v>0</v>
      </c>
      <c r="F8" s="34">
        <f>69000/3.4528</f>
        <v>19983.781278962004</v>
      </c>
      <c r="G8" s="34">
        <f>69000/3.4528</f>
        <v>19983.781278962004</v>
      </c>
      <c r="H8" s="34">
        <f>57000/3.4528</f>
        <v>16508.341056533827</v>
      </c>
      <c r="I8" s="34">
        <f>80689/3.4528</f>
        <v>23369.14967562558</v>
      </c>
      <c r="J8" s="34">
        <f>57000/3.4528</f>
        <v>16508.341056533827</v>
      </c>
      <c r="K8" s="34">
        <f>24000/3.4528</f>
        <v>6950.8804448563487</v>
      </c>
      <c r="L8" s="34">
        <f>32500/3.4528</f>
        <v>9412.6506024096398</v>
      </c>
      <c r="M8" s="34">
        <f>6600/3.4528</f>
        <v>1911.4921223354959</v>
      </c>
      <c r="N8" s="34">
        <f>22000/3.4528</f>
        <v>6371.6404077849866</v>
      </c>
      <c r="O8" s="34">
        <v>0</v>
      </c>
      <c r="P8" s="48">
        <f t="shared" si="0"/>
        <v>137605.71130676553</v>
      </c>
      <c r="Q8" s="52"/>
    </row>
    <row r="9" spans="2:19" x14ac:dyDescent="0.25">
      <c r="B9" s="162"/>
      <c r="C9" s="39">
        <v>2013</v>
      </c>
      <c r="D9" s="43">
        <f>66000/3.4528</f>
        <v>19114.921223354959</v>
      </c>
      <c r="E9" s="34">
        <f>6000/3.4528</f>
        <v>1737.7201112140872</v>
      </c>
      <c r="F9" s="34">
        <f>67000/3.4528</f>
        <v>19404.541241890642</v>
      </c>
      <c r="G9" s="34">
        <f>46000/3.4528</f>
        <v>13322.520852641335</v>
      </c>
      <c r="H9" s="34">
        <f>21000/3.4528</f>
        <v>6082.0203892493055</v>
      </c>
      <c r="I9" s="34">
        <f>73000/3.4528</f>
        <v>21142.261353104728</v>
      </c>
      <c r="J9" s="34">
        <f>47000/3.4528</f>
        <v>13612.140871177016</v>
      </c>
      <c r="K9" s="34">
        <f>17000/3.4528</f>
        <v>4923.5403151065802</v>
      </c>
      <c r="L9" s="34">
        <f>29000/3.4528</f>
        <v>8398.9805375347551</v>
      </c>
      <c r="M9" s="34">
        <f>6600/3.4528</f>
        <v>1911.4921223354959</v>
      </c>
      <c r="N9" s="34">
        <f>21400/3.4528</f>
        <v>6197.8683966635772</v>
      </c>
      <c r="O9" s="34">
        <v>0</v>
      </c>
      <c r="P9" s="48">
        <f t="shared" si="0"/>
        <v>115848.00741427248</v>
      </c>
      <c r="Q9" s="52"/>
    </row>
    <row r="10" spans="2:19" x14ac:dyDescent="0.25">
      <c r="B10" s="162"/>
      <c r="C10" s="39">
        <v>2012</v>
      </c>
      <c r="D10" s="43">
        <f>73000/3.4528</f>
        <v>21142.261353104728</v>
      </c>
      <c r="E10" s="34">
        <f>19000/3.4528</f>
        <v>5502.7803521779424</v>
      </c>
      <c r="F10" s="34">
        <f>73500/3.4528</f>
        <v>21287.071362372568</v>
      </c>
      <c r="G10" s="34">
        <f>81000/3.4528</f>
        <v>23459.221501390177</v>
      </c>
      <c r="H10" s="34">
        <f>24000/3.4528</f>
        <v>6950.8804448563487</v>
      </c>
      <c r="I10" s="34">
        <f>80000/3.4528</f>
        <v>23169.601482854498</v>
      </c>
      <c r="J10" s="34">
        <f>52500/3.4528</f>
        <v>15205.050973123263</v>
      </c>
      <c r="K10" s="34">
        <f>19000/3.4528</f>
        <v>5502.7803521779424</v>
      </c>
      <c r="L10" s="34">
        <f>32000/3.4528</f>
        <v>9267.8405931417983</v>
      </c>
      <c r="M10" s="34">
        <f>23000/3.4528</f>
        <v>6661.2604263206676</v>
      </c>
      <c r="N10" s="34">
        <f>23000/3.4528</f>
        <v>6661.2604263206676</v>
      </c>
      <c r="O10" s="34">
        <v>0</v>
      </c>
      <c r="P10" s="48">
        <f t="shared" si="0"/>
        <v>144810.00926784059</v>
      </c>
      <c r="Q10" s="52"/>
    </row>
    <row r="11" spans="2:19" x14ac:dyDescent="0.25">
      <c r="B11" s="162"/>
      <c r="C11" s="39">
        <v>2011</v>
      </c>
      <c r="D11" s="43">
        <f>52000/3.4528</f>
        <v>15060.240963855422</v>
      </c>
      <c r="E11" s="34">
        <f>15000/3.4528</f>
        <v>4344.3002780352181</v>
      </c>
      <c r="F11" s="34">
        <f>60000/3.4528</f>
        <v>17377.201112140872</v>
      </c>
      <c r="G11" s="34">
        <f>41000/3.4528</f>
        <v>11874.42075996293</v>
      </c>
      <c r="H11" s="34">
        <f>20000/3.4528</f>
        <v>5792.4003707136244</v>
      </c>
      <c r="I11" s="34">
        <f>93000/3.4528</f>
        <v>26934.66172381835</v>
      </c>
      <c r="J11" s="34">
        <f>35500/3.4528</f>
        <v>10281.510658016683</v>
      </c>
      <c r="K11" s="34">
        <f>15000/3.4528</f>
        <v>4344.3002780352181</v>
      </c>
      <c r="L11" s="34">
        <f>28000/3.4528</f>
        <v>8109.360518999074</v>
      </c>
      <c r="M11" s="34">
        <v>0</v>
      </c>
      <c r="N11" s="34">
        <f>17000/3.4528</f>
        <v>4923.5403151065802</v>
      </c>
      <c r="O11" s="34">
        <v>0</v>
      </c>
      <c r="P11" s="48">
        <f t="shared" si="0"/>
        <v>109041.936978684</v>
      </c>
      <c r="Q11" s="52"/>
    </row>
    <row r="12" spans="2:19" x14ac:dyDescent="0.25">
      <c r="B12" s="162"/>
      <c r="C12" s="39">
        <v>2010</v>
      </c>
      <c r="D12" s="43">
        <f>49000/3.4528</f>
        <v>14191.380908248379</v>
      </c>
      <c r="E12" s="34">
        <f>15000/3.4528</f>
        <v>4344.3002780352181</v>
      </c>
      <c r="F12" s="34">
        <f>52000/3.4528</f>
        <v>15060.240963855422</v>
      </c>
      <c r="G12" s="34">
        <f>39000/3.4528</f>
        <v>11295.180722891566</v>
      </c>
      <c r="H12" s="34">
        <f>29000/3.4528</f>
        <v>8398.9805375347551</v>
      </c>
      <c r="I12" s="34">
        <f>67000/3.4528</f>
        <v>19404.541241890642</v>
      </c>
      <c r="J12" s="34">
        <f>30000/3.4528</f>
        <v>8688.6005560704361</v>
      </c>
      <c r="K12" s="34">
        <f>15000/3.4528</f>
        <v>4344.3002780352181</v>
      </c>
      <c r="L12" s="34">
        <f>27000/3.4528</f>
        <v>7819.740500463392</v>
      </c>
      <c r="M12" s="34">
        <v>0</v>
      </c>
      <c r="N12" s="34">
        <f>21000/3.4528</f>
        <v>6082.0203892493055</v>
      </c>
      <c r="O12" s="34">
        <v>0</v>
      </c>
      <c r="P12" s="48">
        <f t="shared" si="0"/>
        <v>99629.286376274336</v>
      </c>
      <c r="Q12" s="52"/>
    </row>
    <row r="13" spans="2:19" x14ac:dyDescent="0.25">
      <c r="B13" s="162"/>
      <c r="C13" s="39">
        <v>2009</v>
      </c>
      <c r="D13" s="43">
        <f>73800/3.4528</f>
        <v>21373.957367933272</v>
      </c>
      <c r="E13" s="34">
        <f>16900/3.4528</f>
        <v>4894.5783132530123</v>
      </c>
      <c r="F13" s="34">
        <f>78300/3.4528</f>
        <v>22677.247451343839</v>
      </c>
      <c r="G13" s="34">
        <f>59000/3.4528</f>
        <v>17087.581093605189</v>
      </c>
      <c r="H13" s="34">
        <f>43700/3.4528</f>
        <v>12656.394810009268</v>
      </c>
      <c r="I13" s="34">
        <f>101000/3.4528</f>
        <v>29251.621872103802</v>
      </c>
      <c r="J13" s="34">
        <f>47800/3.4528</f>
        <v>13843.836886005562</v>
      </c>
      <c r="K13" s="34">
        <f>17000/3.4528</f>
        <v>4923.5403151065802</v>
      </c>
      <c r="L13" s="34">
        <f>41400/3.4528</f>
        <v>11990.268767377202</v>
      </c>
      <c r="M13" s="34">
        <v>0</v>
      </c>
      <c r="N13" s="34">
        <f>32000/3.4528</f>
        <v>9267.8405931417983</v>
      </c>
      <c r="O13" s="34">
        <v>0</v>
      </c>
      <c r="P13" s="48">
        <f t="shared" si="0"/>
        <v>147966.86746987951</v>
      </c>
      <c r="Q13" s="52"/>
    </row>
    <row r="14" spans="2:19" x14ac:dyDescent="0.25">
      <c r="B14" s="162"/>
      <c r="C14" s="39">
        <v>2008</v>
      </c>
      <c r="D14" s="43">
        <f>57300/3.4528</f>
        <v>16595.227062094531</v>
      </c>
      <c r="E14" s="34">
        <f>22100/3.4528</f>
        <v>6400.6024096385545</v>
      </c>
      <c r="F14" s="34">
        <f>105700/3.4528</f>
        <v>30612.835959221502</v>
      </c>
      <c r="G14" s="34">
        <f>93300/3.4528</f>
        <v>27021.547729379057</v>
      </c>
      <c r="H14" s="34">
        <f>86400/3.4528</f>
        <v>25023.169601482856</v>
      </c>
      <c r="I14" s="34">
        <f>112400/3.4528</f>
        <v>32553.290083410568</v>
      </c>
      <c r="J14" s="34">
        <f>67400/3.4528</f>
        <v>19520.389249304913</v>
      </c>
      <c r="K14" s="34">
        <f>23100/3.4528</f>
        <v>6690.2224281742356</v>
      </c>
      <c r="L14" s="34">
        <f>59200/3.4528</f>
        <v>17145.505097312325</v>
      </c>
      <c r="M14" s="34">
        <v>0</v>
      </c>
      <c r="N14" s="34">
        <f>32100/3.4528</f>
        <v>9296.8025949953662</v>
      </c>
      <c r="O14" s="34">
        <f>8100/3.4528</f>
        <v>2345.9221501390175</v>
      </c>
      <c r="P14" s="48">
        <f t="shared" si="0"/>
        <v>193205.51436515292</v>
      </c>
      <c r="Q14" s="52"/>
    </row>
    <row r="15" spans="2:19" x14ac:dyDescent="0.25">
      <c r="B15" s="162"/>
      <c r="C15" s="39">
        <v>2007</v>
      </c>
      <c r="D15" s="43">
        <f>55400/3.4528</f>
        <v>16044.949026876739</v>
      </c>
      <c r="E15" s="34">
        <f>1500/3.4528</f>
        <v>434.4300278035218</v>
      </c>
      <c r="F15" s="34">
        <f>63580/3.4528</f>
        <v>18414.040778498609</v>
      </c>
      <c r="G15" s="34">
        <f>89600/3.4528</f>
        <v>25949.953660797037</v>
      </c>
      <c r="H15" s="34">
        <f>49380/3.4528</f>
        <v>14301.436515291938</v>
      </c>
      <c r="I15" s="34">
        <f>107990/3.4528</f>
        <v>31276.065801668214</v>
      </c>
      <c r="J15" s="34">
        <f>60900/3.4528</f>
        <v>17637.859128822984</v>
      </c>
      <c r="K15" s="34">
        <f>20990/3.4528</f>
        <v>6079.1241890639485</v>
      </c>
      <c r="L15" s="34">
        <f>33040/3.4528</f>
        <v>9569.0454124189073</v>
      </c>
      <c r="M15" s="34">
        <v>0</v>
      </c>
      <c r="N15" s="34">
        <f>15000/3.4528</f>
        <v>4344.3002780352181</v>
      </c>
      <c r="O15" s="34">
        <f>7000/3.4528</f>
        <v>2027.3401297497685</v>
      </c>
      <c r="P15" s="48">
        <f t="shared" si="0"/>
        <v>146078.54494902687</v>
      </c>
      <c r="Q15" s="52"/>
    </row>
    <row r="16" spans="2:19" x14ac:dyDescent="0.25">
      <c r="B16" s="162"/>
      <c r="C16" s="39">
        <v>2006</v>
      </c>
      <c r="D16" s="43">
        <f>80346/3.4528</f>
        <v>23269.810009267843</v>
      </c>
      <c r="E16" s="34">
        <f>12000/3.4528</f>
        <v>3475.4402224281744</v>
      </c>
      <c r="F16" s="34">
        <f>45058/3.4528</f>
        <v>13049.698795180724</v>
      </c>
      <c r="G16" s="34">
        <f>84080/3.4528</f>
        <v>24351.251158480074</v>
      </c>
      <c r="H16" s="34">
        <f>28328/3.4528</f>
        <v>8204.3558850787776</v>
      </c>
      <c r="I16" s="34">
        <f>78219/3.4528</f>
        <v>22653.788229842448</v>
      </c>
      <c r="J16" s="34">
        <f>81316/3.4528</f>
        <v>23550.741427247453</v>
      </c>
      <c r="K16" s="34">
        <f>10895/3.4528</f>
        <v>3155.4101019462469</v>
      </c>
      <c r="L16" s="34">
        <f>40620/3.4528</f>
        <v>11764.36515291937</v>
      </c>
      <c r="M16" s="34">
        <v>0</v>
      </c>
      <c r="N16" s="34">
        <v>0</v>
      </c>
      <c r="O16" s="34">
        <v>0</v>
      </c>
      <c r="P16" s="48">
        <f t="shared" si="0"/>
        <v>133474.86098239111</v>
      </c>
      <c r="Q16" s="52"/>
    </row>
    <row r="17" spans="2:18" ht="15.75" thickBot="1" x14ac:dyDescent="0.3">
      <c r="B17" s="162"/>
      <c r="C17" s="40">
        <v>2005</v>
      </c>
      <c r="D17" s="44">
        <f>64500/3.4528</f>
        <v>18680.491195551436</v>
      </c>
      <c r="E17" s="37">
        <f>14500/3.4528</f>
        <v>4199.4902687673775</v>
      </c>
      <c r="F17" s="37">
        <f>54500/3.4528</f>
        <v>15784.291010194625</v>
      </c>
      <c r="G17" s="37">
        <f>46500/3.4528</f>
        <v>13467.330861909175</v>
      </c>
      <c r="H17" s="37">
        <f>33500/3.4528</f>
        <v>9702.2706209453208</v>
      </c>
      <c r="I17" s="37">
        <f>98500/3.4528</f>
        <v>28527.571825764597</v>
      </c>
      <c r="J17" s="37">
        <f>38500/3.4528</f>
        <v>11150.370713623726</v>
      </c>
      <c r="K17" s="37">
        <f>23000/3.4528</f>
        <v>6661.2604263206676</v>
      </c>
      <c r="L17" s="37">
        <f>19500/3.4528</f>
        <v>5647.5903614457829</v>
      </c>
      <c r="M17" s="37">
        <v>0</v>
      </c>
      <c r="N17" s="37">
        <f>19500/3.4528</f>
        <v>5647.5903614457829</v>
      </c>
      <c r="O17" s="37">
        <v>10</v>
      </c>
      <c r="P17" s="49">
        <f t="shared" si="0"/>
        <v>119478.25764596848</v>
      </c>
      <c r="Q17" s="52"/>
    </row>
    <row r="18" spans="2:18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96"/>
      <c r="Q18" s="97"/>
    </row>
    <row r="19" spans="2:18" x14ac:dyDescent="0.25">
      <c r="B19" s="2" t="s">
        <v>25</v>
      </c>
      <c r="C19" s="2"/>
      <c r="D19" s="6">
        <f>SUM(D4:D5)/SUM($P4:$P5)</f>
        <v>0.13075976387314786</v>
      </c>
      <c r="E19" s="6">
        <f t="shared" ref="E19:O19" si="2">SUM(E4:E5)/SUM($P4:$P5)</f>
        <v>2.0859262555537786E-2</v>
      </c>
      <c r="F19" s="6">
        <f t="shared" si="2"/>
        <v>0.13906175037025192</v>
      </c>
      <c r="G19" s="6">
        <f t="shared" si="2"/>
        <v>0.15325995508305462</v>
      </c>
      <c r="H19" s="6">
        <f t="shared" si="2"/>
        <v>0.11124940029620153</v>
      </c>
      <c r="I19" s="6">
        <f t="shared" si="2"/>
        <v>0.20911758366302557</v>
      </c>
      <c r="J19" s="6">
        <f t="shared" si="2"/>
        <v>0.1001939911417665</v>
      </c>
      <c r="K19" s="6">
        <f t="shared" si="2"/>
        <v>3.7894326975893643E-2</v>
      </c>
      <c r="L19" s="6">
        <f t="shared" si="2"/>
        <v>4.5455809652276094E-2</v>
      </c>
      <c r="M19" s="6">
        <f t="shared" si="2"/>
        <v>1.7382718796281491E-2</v>
      </c>
      <c r="N19" s="6">
        <f t="shared" si="2"/>
        <v>2.0859262555537786E-2</v>
      </c>
      <c r="O19" s="6">
        <f t="shared" si="2"/>
        <v>1.3906175037025192E-2</v>
      </c>
      <c r="P19" s="98">
        <f>SUM(D19:O19)</f>
        <v>1.0000000000000002</v>
      </c>
      <c r="Q19" s="97"/>
      <c r="R19" s="18"/>
    </row>
    <row r="20" spans="2:18" x14ac:dyDescent="0.25">
      <c r="B20" s="2" t="s">
        <v>26</v>
      </c>
      <c r="C20" s="2"/>
      <c r="D20" s="6">
        <f>SUM(D4:D6)/SUM($P4:$P6)</f>
        <v>0.11479451406138837</v>
      </c>
      <c r="E20" s="6">
        <f t="shared" ref="E20:O20" si="3">SUM(E4:E6)/SUM($P4:$P6)</f>
        <v>1.9129793352320294E-2</v>
      </c>
      <c r="F20" s="6">
        <f t="shared" si="3"/>
        <v>0.13503383542814323</v>
      </c>
      <c r="G20" s="6">
        <f t="shared" si="3"/>
        <v>0.17458074469719878</v>
      </c>
      <c r="H20" s="6">
        <f t="shared" si="3"/>
        <v>0.11306157984006053</v>
      </c>
      <c r="I20" s="6">
        <f t="shared" si="3"/>
        <v>0.21638046845398054</v>
      </c>
      <c r="J20" s="6">
        <f t="shared" si="3"/>
        <v>9.6258869584951917E-2</v>
      </c>
      <c r="K20" s="6">
        <f t="shared" si="3"/>
        <v>3.5838159967743123E-2</v>
      </c>
      <c r="L20" s="6">
        <f t="shared" si="3"/>
        <v>4.8785474176264353E-2</v>
      </c>
      <c r="M20" s="6">
        <f t="shared" si="3"/>
        <v>1.5753947466616711E-2</v>
      </c>
      <c r="N20" s="6">
        <f t="shared" si="3"/>
        <v>1.8004511390419101E-2</v>
      </c>
      <c r="O20" s="6">
        <f t="shared" si="3"/>
        <v>1.2378101580913131E-2</v>
      </c>
      <c r="P20" s="98">
        <f t="shared" ref="P20:P23" si="4">SUM(D20:O20)</f>
        <v>1</v>
      </c>
      <c r="Q20" s="97"/>
      <c r="R20" s="18"/>
    </row>
    <row r="21" spans="2:18" x14ac:dyDescent="0.25">
      <c r="B21" s="2" t="s">
        <v>41</v>
      </c>
      <c r="C21" s="2"/>
      <c r="D21" s="6">
        <f>SUM(D4:D7)/SUM($P4:$P7)</f>
        <v>0.12412358493053921</v>
      </c>
      <c r="E21" s="6">
        <f t="shared" ref="E21:O21" si="5">SUM(E4:E7)/SUM($P4:$P7)</f>
        <v>1.9035266748911935E-2</v>
      </c>
      <c r="F21" s="6">
        <f t="shared" si="5"/>
        <v>0.12092835841510982</v>
      </c>
      <c r="G21" s="6">
        <f t="shared" si="5"/>
        <v>0.16077694027642755</v>
      </c>
      <c r="H21" s="6">
        <f t="shared" si="5"/>
        <v>0.10810613922098719</v>
      </c>
      <c r="I21" s="6">
        <f t="shared" si="5"/>
        <v>0.22555937464862322</v>
      </c>
      <c r="J21" s="6">
        <f t="shared" si="5"/>
        <v>0.10229217652523094</v>
      </c>
      <c r="K21" s="6">
        <f t="shared" si="5"/>
        <v>3.6209376882975118E-2</v>
      </c>
      <c r="L21" s="6">
        <f t="shared" si="5"/>
        <v>5.0066352333403591E-2</v>
      </c>
      <c r="M21" s="6">
        <f t="shared" si="5"/>
        <v>1.6453195973594573E-2</v>
      </c>
      <c r="N21" s="6">
        <f t="shared" si="5"/>
        <v>2.2578108845919712E-2</v>
      </c>
      <c r="O21" s="6">
        <f t="shared" si="5"/>
        <v>1.3871125198277216E-2</v>
      </c>
      <c r="P21" s="98">
        <f t="shared" si="4"/>
        <v>1</v>
      </c>
      <c r="Q21" s="97"/>
    </row>
    <row r="22" spans="2:18" x14ac:dyDescent="0.25">
      <c r="B22" s="2" t="s">
        <v>42</v>
      </c>
      <c r="C22" s="2"/>
      <c r="D22" s="6">
        <f>SUM(D4:D8)/SUM($P4:$P8)</f>
        <v>0.12346326782788662</v>
      </c>
      <c r="E22" s="6">
        <f t="shared" ref="E22:O22" si="6">SUM(E4:E8)/SUM($P4:$P8)</f>
        <v>1.5389846300815968E-2</v>
      </c>
      <c r="F22" s="6">
        <f t="shared" si="6"/>
        <v>0.12558136692985541</v>
      </c>
      <c r="G22" s="6">
        <f t="shared" si="6"/>
        <v>0.15779859604676377</v>
      </c>
      <c r="H22" s="6">
        <f t="shared" si="6"/>
        <v>0.11037787176915377</v>
      </c>
      <c r="I22" s="6">
        <f t="shared" si="6"/>
        <v>0.21488611483212916</v>
      </c>
      <c r="J22" s="6">
        <f t="shared" si="6"/>
        <v>0.10567733389560488</v>
      </c>
      <c r="K22" s="6">
        <f t="shared" si="6"/>
        <v>3.8948650480736778E-2</v>
      </c>
      <c r="L22" s="6">
        <f t="shared" si="6"/>
        <v>5.3577991028653973E-2</v>
      </c>
      <c r="M22" s="6">
        <f t="shared" si="6"/>
        <v>1.596252855269014E-2</v>
      </c>
      <c r="N22" s="6">
        <f t="shared" si="6"/>
        <v>2.7121749209030255E-2</v>
      </c>
      <c r="O22" s="6">
        <f t="shared" si="6"/>
        <v>1.1214683126679278E-2</v>
      </c>
      <c r="P22" s="98">
        <f t="shared" si="4"/>
        <v>1</v>
      </c>
      <c r="Q22" s="97"/>
    </row>
    <row r="23" spans="2:18" x14ac:dyDescent="0.25">
      <c r="B23" s="2" t="s">
        <v>43</v>
      </c>
      <c r="C23" s="2"/>
      <c r="D23" s="6">
        <f>SUM(D4:D13)/SUM($P4:$P13)</f>
        <v>0.13444472302500871</v>
      </c>
      <c r="E23" s="6">
        <f t="shared" ref="E23:O23" si="7">SUM(E4:E13)/SUM($P4:$P13)</f>
        <v>2.3866658093496786E-2</v>
      </c>
      <c r="F23" s="6">
        <f t="shared" si="7"/>
        <v>0.13926978600044271</v>
      </c>
      <c r="G23" s="6">
        <f t="shared" si="7"/>
        <v>0.14255000867142534</v>
      </c>
      <c r="H23" s="6">
        <f t="shared" si="7"/>
        <v>8.9226127135361669E-2</v>
      </c>
      <c r="I23" s="6">
        <f t="shared" si="7"/>
        <v>0.20534473157717392</v>
      </c>
      <c r="J23" s="6">
        <f t="shared" si="7"/>
        <v>0.10298008611950087</v>
      </c>
      <c r="K23" s="6">
        <f t="shared" si="7"/>
        <v>3.8945365037983577E-2</v>
      </c>
      <c r="L23" s="6">
        <f t="shared" si="7"/>
        <v>6.2944974243818161E-2</v>
      </c>
      <c r="M23" s="6">
        <f t="shared" si="7"/>
        <v>1.500368399083318E-2</v>
      </c>
      <c r="N23" s="6">
        <f t="shared" si="7"/>
        <v>3.9391550663333552E-2</v>
      </c>
      <c r="O23" s="6">
        <f t="shared" si="7"/>
        <v>6.0323054416214078E-3</v>
      </c>
      <c r="P23" s="98">
        <f t="shared" si="4"/>
        <v>0.99999999999999989</v>
      </c>
      <c r="Q23" s="97"/>
    </row>
    <row r="24" spans="2:18" x14ac:dyDescent="0.25">
      <c r="P24" s="33"/>
    </row>
    <row r="25" spans="2:18" x14ac:dyDescent="0.25">
      <c r="P25" s="33"/>
      <c r="Q25" s="33"/>
    </row>
    <row r="26" spans="2:18" x14ac:dyDescent="0.25">
      <c r="P26" s="33"/>
      <c r="Q26" s="33"/>
    </row>
  </sheetData>
  <mergeCells count="1">
    <mergeCell ref="B4:B17"/>
  </mergeCells>
  <pageMargins left="0.7" right="0.7" top="0.75" bottom="0.75" header="0.3" footer="0.3"/>
  <pageSetup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"/>
  <sheetViews>
    <sheetView topLeftCell="D1" zoomScale="136" zoomScaleNormal="136" workbookViewId="0">
      <selection activeCell="M6" sqref="M6:M13"/>
    </sheetView>
  </sheetViews>
  <sheetFormatPr defaultRowHeight="15" x14ac:dyDescent="0.25"/>
  <cols>
    <col min="1" max="1" width="42.140625" customWidth="1"/>
    <col min="2" max="2" width="11.7109375" customWidth="1"/>
    <col min="3" max="3" width="11" customWidth="1"/>
    <col min="4" max="4" width="6.28515625" customWidth="1"/>
    <col min="5" max="5" width="12" customWidth="1"/>
    <col min="6" max="6" width="6.7109375" customWidth="1"/>
    <col min="7" max="7" width="11.140625" customWidth="1"/>
    <col min="8" max="8" width="7.85546875" customWidth="1"/>
    <col min="9" max="9" width="11.140625" customWidth="1"/>
    <col min="10" max="10" width="7.42578125" customWidth="1"/>
    <col min="11" max="11" width="7.140625" customWidth="1"/>
    <col min="12" max="12" width="11.42578125" customWidth="1"/>
    <col min="13" max="13" width="10" customWidth="1"/>
    <col min="14" max="14" width="41.7109375" customWidth="1"/>
  </cols>
  <sheetData>
    <row r="3" spans="1:16" x14ac:dyDescent="0.25">
      <c r="A3" s="163" t="s">
        <v>60</v>
      </c>
      <c r="B3" s="76" t="s">
        <v>49</v>
      </c>
      <c r="C3" s="163" t="s">
        <v>56</v>
      </c>
      <c r="D3" s="163"/>
      <c r="E3" s="163" t="s">
        <v>57</v>
      </c>
      <c r="F3" s="163"/>
      <c r="G3" s="168" t="s">
        <v>52</v>
      </c>
      <c r="H3" s="168" t="s">
        <v>53</v>
      </c>
      <c r="I3" s="168" t="s">
        <v>54</v>
      </c>
      <c r="J3" s="166" t="s">
        <v>62</v>
      </c>
      <c r="K3" s="166" t="s">
        <v>50</v>
      </c>
      <c r="L3" s="168" t="s">
        <v>51</v>
      </c>
      <c r="M3" s="168" t="s">
        <v>63</v>
      </c>
      <c r="N3" s="163" t="s">
        <v>60</v>
      </c>
    </row>
    <row r="4" spans="1:16" x14ac:dyDescent="0.25">
      <c r="A4" s="163"/>
      <c r="B4" s="77" t="s">
        <v>55</v>
      </c>
      <c r="C4" s="77" t="s">
        <v>58</v>
      </c>
      <c r="D4" s="77" t="s">
        <v>59</v>
      </c>
      <c r="E4" s="164" t="s">
        <v>61</v>
      </c>
      <c r="F4" s="77" t="s">
        <v>59</v>
      </c>
      <c r="G4" s="169"/>
      <c r="H4" s="169"/>
      <c r="I4" s="169"/>
      <c r="J4" s="171"/>
      <c r="K4" s="167"/>
      <c r="L4" s="170"/>
      <c r="M4" s="170"/>
      <c r="N4" s="163"/>
      <c r="O4" s="71"/>
      <c r="P4" s="71"/>
    </row>
    <row r="5" spans="1:16" x14ac:dyDescent="0.25">
      <c r="A5" s="163"/>
      <c r="B5" s="76">
        <v>0.5</v>
      </c>
      <c r="C5" s="77"/>
      <c r="D5" s="76">
        <v>0.25</v>
      </c>
      <c r="E5" s="165"/>
      <c r="F5" s="76">
        <v>0.25</v>
      </c>
      <c r="G5" s="170"/>
      <c r="H5" s="170"/>
      <c r="I5" s="170"/>
      <c r="J5" s="167"/>
      <c r="K5" s="78">
        <v>0</v>
      </c>
      <c r="L5" s="73">
        <f>171696-(SUM(M14:M18))</f>
        <v>113141</v>
      </c>
      <c r="M5" s="73">
        <f>(SUM(M6:M18))</f>
        <v>171696</v>
      </c>
      <c r="N5" s="163"/>
      <c r="O5" s="71"/>
      <c r="P5" s="71"/>
    </row>
    <row r="6" spans="1:16" x14ac:dyDescent="0.25">
      <c r="A6" s="79" t="s">
        <v>0</v>
      </c>
      <c r="B6" s="80">
        <v>30900</v>
      </c>
      <c r="C6" s="81">
        <v>163.19</v>
      </c>
      <c r="D6" s="81">
        <f>COUNTIF($C$6:$C$13,"&lt;="&amp;C6)</f>
        <v>2</v>
      </c>
      <c r="E6" s="77">
        <v>16</v>
      </c>
      <c r="F6" s="81">
        <f>COUNTIF($E$6:$E$13,"&lt;="&amp;E6)</f>
        <v>2</v>
      </c>
      <c r="G6" s="82">
        <f>B6/SUM($B$6:$B$13)*$B$5</f>
        <v>8.1891616842640888E-2</v>
      </c>
      <c r="H6" s="82">
        <f>D6/SUM($D$6:$D$13)*$D$5</f>
        <v>1.3888888888888888E-2</v>
      </c>
      <c r="I6" s="82">
        <f>F6/SUM($F$6:$F$13)*$F$5</f>
        <v>1.3888888888888888E-2</v>
      </c>
      <c r="J6" s="83">
        <f>SUM(G6:I6)</f>
        <v>0.10966939462041866</v>
      </c>
      <c r="K6" s="84">
        <v>0</v>
      </c>
      <c r="L6" s="85">
        <f t="shared" ref="L6:L13" si="0">($L$5-SUM($K$6:$K$13))*J6</f>
        <v>12408.104976748788</v>
      </c>
      <c r="M6" s="95">
        <f>($L$5-SUM($K$6:$K$13))*J6</f>
        <v>12408.104976748788</v>
      </c>
      <c r="N6" s="79" t="s">
        <v>0</v>
      </c>
      <c r="O6" s="71"/>
      <c r="P6" s="71"/>
    </row>
    <row r="7" spans="1:16" x14ac:dyDescent="0.25">
      <c r="A7" s="79" t="s">
        <v>1</v>
      </c>
      <c r="B7" s="11">
        <v>22470</v>
      </c>
      <c r="C7" s="81">
        <v>3285.25</v>
      </c>
      <c r="D7" s="81">
        <f t="shared" ref="D7:D13" si="1">COUNTIF($C$6:$C$13,"&lt;="&amp;C7)</f>
        <v>8</v>
      </c>
      <c r="E7" s="77">
        <v>129</v>
      </c>
      <c r="F7" s="81">
        <f t="shared" ref="F7:F13" si="2">COUNTIF($E$6:$E$13,"&lt;="&amp;E7)</f>
        <v>8</v>
      </c>
      <c r="G7" s="82">
        <f t="shared" ref="G7:G13" si="3">B7/SUM($B$6:$B$13)*$B$5</f>
        <v>5.955031166518255E-2</v>
      </c>
      <c r="H7" s="82">
        <f t="shared" ref="H7:H13" si="4">D7/SUM($D$6:$D$13)*$D$5</f>
        <v>5.5555555555555552E-2</v>
      </c>
      <c r="I7" s="82">
        <f t="shared" ref="I7:I13" si="5">F7/SUM($F$6:$F$13)*$F$5</f>
        <v>5.5555555555555552E-2</v>
      </c>
      <c r="J7" s="83">
        <f t="shared" ref="J7:J13" si="6">SUM(G7:I7)</f>
        <v>0.17066142277629365</v>
      </c>
      <c r="K7" s="84">
        <v>0</v>
      </c>
      <c r="L7" s="85">
        <f t="shared" si="0"/>
        <v>19308.804034332639</v>
      </c>
      <c r="M7" s="95">
        <f t="shared" ref="M7:M13" si="7">($L$5-SUM($K$6:$K$13))*J7</f>
        <v>19308.804034332639</v>
      </c>
      <c r="N7" s="79" t="s">
        <v>1</v>
      </c>
      <c r="O7" s="72"/>
      <c r="P7" s="71"/>
    </row>
    <row r="8" spans="1:16" x14ac:dyDescent="0.25">
      <c r="A8" s="79" t="s">
        <v>2</v>
      </c>
      <c r="B8" s="11">
        <v>6150</v>
      </c>
      <c r="C8" s="81">
        <v>306.82</v>
      </c>
      <c r="D8" s="81">
        <f t="shared" si="1"/>
        <v>3</v>
      </c>
      <c r="E8" s="77">
        <v>8</v>
      </c>
      <c r="F8" s="81">
        <f t="shared" si="2"/>
        <v>1</v>
      </c>
      <c r="G8" s="82">
        <f t="shared" si="3"/>
        <v>1.6298816944409107E-2</v>
      </c>
      <c r="H8" s="82">
        <f t="shared" si="4"/>
        <v>2.0833333333333332E-2</v>
      </c>
      <c r="I8" s="82">
        <f t="shared" si="5"/>
        <v>6.9444444444444441E-3</v>
      </c>
      <c r="J8" s="83">
        <f t="shared" si="6"/>
        <v>4.407659472218689E-2</v>
      </c>
      <c r="K8" s="84">
        <v>0</v>
      </c>
      <c r="L8" s="85">
        <f t="shared" si="0"/>
        <v>4986.8700034629474</v>
      </c>
      <c r="M8" s="95">
        <f t="shared" si="7"/>
        <v>4986.8700034629474</v>
      </c>
      <c r="N8" s="79" t="s">
        <v>2</v>
      </c>
      <c r="O8" s="72"/>
      <c r="P8" s="71"/>
    </row>
    <row r="9" spans="1:16" x14ac:dyDescent="0.25">
      <c r="A9" s="79" t="s">
        <v>3</v>
      </c>
      <c r="B9" s="11">
        <v>30000</v>
      </c>
      <c r="C9" s="81">
        <v>2499.7800000000002</v>
      </c>
      <c r="D9" s="81">
        <f t="shared" si="1"/>
        <v>7</v>
      </c>
      <c r="E9" s="77">
        <v>52</v>
      </c>
      <c r="F9" s="81">
        <f t="shared" si="2"/>
        <v>6</v>
      </c>
      <c r="G9" s="82">
        <f t="shared" si="3"/>
        <v>7.9506424119068816E-2</v>
      </c>
      <c r="H9" s="82">
        <f t="shared" si="4"/>
        <v>4.8611111111111112E-2</v>
      </c>
      <c r="I9" s="82">
        <f t="shared" si="5"/>
        <v>4.1666666666666664E-2</v>
      </c>
      <c r="J9" s="83">
        <f t="shared" si="6"/>
        <v>0.16978420189684659</v>
      </c>
      <c r="K9" s="84">
        <v>0</v>
      </c>
      <c r="L9" s="85">
        <f t="shared" si="0"/>
        <v>19209.55438681112</v>
      </c>
      <c r="M9" s="95">
        <f t="shared" si="7"/>
        <v>19209.55438681112</v>
      </c>
      <c r="N9" s="79" t="s">
        <v>3</v>
      </c>
      <c r="O9" s="72"/>
      <c r="P9" s="71"/>
    </row>
    <row r="10" spans="1:16" x14ac:dyDescent="0.25">
      <c r="A10" s="79" t="s">
        <v>4</v>
      </c>
      <c r="B10" s="11">
        <v>27806</v>
      </c>
      <c r="C10" s="81">
        <v>792.44</v>
      </c>
      <c r="D10" s="81">
        <f t="shared" si="1"/>
        <v>4</v>
      </c>
      <c r="E10" s="77">
        <v>31</v>
      </c>
      <c r="F10" s="81">
        <f t="shared" si="2"/>
        <v>4</v>
      </c>
      <c r="G10" s="82">
        <f t="shared" si="3"/>
        <v>7.3691854301827592E-2</v>
      </c>
      <c r="H10" s="82">
        <f t="shared" si="4"/>
        <v>2.7777777777777776E-2</v>
      </c>
      <c r="I10" s="82">
        <f t="shared" si="5"/>
        <v>2.7777777777777776E-2</v>
      </c>
      <c r="J10" s="83">
        <f t="shared" si="6"/>
        <v>0.12924740985738314</v>
      </c>
      <c r="K10" s="84">
        <v>0</v>
      </c>
      <c r="L10" s="85">
        <f t="shared" si="0"/>
        <v>14623.181198674187</v>
      </c>
      <c r="M10" s="95">
        <f t="shared" si="7"/>
        <v>14623.181198674187</v>
      </c>
      <c r="N10" s="79" t="s">
        <v>4</v>
      </c>
      <c r="O10" s="72"/>
      <c r="P10" s="71"/>
    </row>
    <row r="11" spans="1:16" x14ac:dyDescent="0.25">
      <c r="A11" s="79" t="s">
        <v>5</v>
      </c>
      <c r="B11" s="11">
        <v>46688</v>
      </c>
      <c r="C11" s="81">
        <v>1091.04</v>
      </c>
      <c r="D11" s="81">
        <f t="shared" si="1"/>
        <v>6</v>
      </c>
      <c r="E11" s="77">
        <v>34</v>
      </c>
      <c r="F11" s="81">
        <f t="shared" si="2"/>
        <v>5</v>
      </c>
      <c r="G11" s="82">
        <f t="shared" si="3"/>
        <v>0.12373319764236951</v>
      </c>
      <c r="H11" s="82">
        <f t="shared" si="4"/>
        <v>4.1666666666666664E-2</v>
      </c>
      <c r="I11" s="82">
        <f t="shared" si="5"/>
        <v>3.4722222222222224E-2</v>
      </c>
      <c r="J11" s="83">
        <f t="shared" si="6"/>
        <v>0.2001220865312584</v>
      </c>
      <c r="K11" s="84">
        <v>0</v>
      </c>
      <c r="L11" s="85">
        <f t="shared" si="0"/>
        <v>22642.012992233107</v>
      </c>
      <c r="M11" s="95">
        <f t="shared" si="7"/>
        <v>22642.012992233107</v>
      </c>
      <c r="N11" s="79" t="s">
        <v>5</v>
      </c>
      <c r="O11" s="72"/>
      <c r="P11" s="71"/>
    </row>
    <row r="12" spans="1:16" x14ac:dyDescent="0.25">
      <c r="A12" s="79" t="s">
        <v>6</v>
      </c>
      <c r="B12" s="11">
        <v>18000</v>
      </c>
      <c r="C12" s="81">
        <v>820.4</v>
      </c>
      <c r="D12" s="81">
        <f t="shared" si="1"/>
        <v>5</v>
      </c>
      <c r="E12" s="77">
        <v>63</v>
      </c>
      <c r="F12" s="81">
        <f t="shared" si="2"/>
        <v>7</v>
      </c>
      <c r="G12" s="82">
        <f t="shared" si="3"/>
        <v>4.7703854471441293E-2</v>
      </c>
      <c r="H12" s="82">
        <f t="shared" si="4"/>
        <v>3.4722222222222224E-2</v>
      </c>
      <c r="I12" s="82">
        <f t="shared" si="5"/>
        <v>4.8611111111111112E-2</v>
      </c>
      <c r="J12" s="83">
        <f t="shared" si="6"/>
        <v>0.13103718780477464</v>
      </c>
      <c r="K12" s="84">
        <v>0</v>
      </c>
      <c r="L12" s="85">
        <f t="shared" si="0"/>
        <v>14825.678465420007</v>
      </c>
      <c r="M12" s="95">
        <f t="shared" si="7"/>
        <v>14825.678465420007</v>
      </c>
      <c r="N12" s="79" t="s">
        <v>6</v>
      </c>
      <c r="O12" s="72"/>
      <c r="P12" s="71"/>
    </row>
    <row r="13" spans="1:16" x14ac:dyDescent="0.25">
      <c r="A13" s="79" t="s">
        <v>7</v>
      </c>
      <c r="B13" s="11">
        <v>6650</v>
      </c>
      <c r="C13" s="81">
        <v>0</v>
      </c>
      <c r="D13" s="81">
        <f t="shared" si="1"/>
        <v>1</v>
      </c>
      <c r="E13" s="77">
        <v>17</v>
      </c>
      <c r="F13" s="81">
        <f t="shared" si="2"/>
        <v>3</v>
      </c>
      <c r="G13" s="82">
        <f t="shared" si="3"/>
        <v>1.7623924013060257E-2</v>
      </c>
      <c r="H13" s="82">
        <f t="shared" si="4"/>
        <v>6.9444444444444441E-3</v>
      </c>
      <c r="I13" s="82">
        <f t="shared" si="5"/>
        <v>2.0833333333333332E-2</v>
      </c>
      <c r="J13" s="83">
        <f t="shared" si="6"/>
        <v>4.5401701790838037E-2</v>
      </c>
      <c r="K13" s="84">
        <v>0</v>
      </c>
      <c r="L13" s="85">
        <f t="shared" si="0"/>
        <v>5136.7939423172065</v>
      </c>
      <c r="M13" s="95">
        <f t="shared" si="7"/>
        <v>5136.7939423172065</v>
      </c>
      <c r="N13" s="79" t="s">
        <v>7</v>
      </c>
      <c r="O13" s="72"/>
      <c r="P13" s="71"/>
    </row>
    <row r="14" spans="1:16" x14ac:dyDescent="0.25">
      <c r="A14" s="79" t="s">
        <v>8</v>
      </c>
      <c r="B14" s="86"/>
      <c r="C14" s="86"/>
      <c r="D14" s="86"/>
      <c r="E14" s="86"/>
      <c r="F14" s="86"/>
      <c r="G14" s="87"/>
      <c r="H14" s="88"/>
      <c r="I14" s="88"/>
      <c r="J14" s="88"/>
      <c r="K14" s="89"/>
      <c r="L14" s="74"/>
      <c r="M14" s="90">
        <v>2500</v>
      </c>
      <c r="N14" s="79" t="s">
        <v>8</v>
      </c>
      <c r="O14" s="72"/>
      <c r="P14" s="71"/>
    </row>
    <row r="15" spans="1:16" x14ac:dyDescent="0.25">
      <c r="A15" s="79" t="s">
        <v>9</v>
      </c>
      <c r="B15" s="86"/>
      <c r="C15" s="86"/>
      <c r="D15" s="86"/>
      <c r="E15" s="86"/>
      <c r="F15" s="86"/>
      <c r="G15" s="87"/>
      <c r="H15" s="88"/>
      <c r="I15" s="88"/>
      <c r="J15" s="88"/>
      <c r="K15" s="89"/>
      <c r="L15" s="91"/>
      <c r="M15" s="90">
        <v>2000</v>
      </c>
      <c r="N15" s="79" t="s">
        <v>9</v>
      </c>
      <c r="O15" s="71"/>
      <c r="P15" s="71"/>
    </row>
    <row r="16" spans="1:16" x14ac:dyDescent="0.25">
      <c r="A16" s="79" t="s">
        <v>10</v>
      </c>
      <c r="B16" s="86"/>
      <c r="C16" s="86"/>
      <c r="D16" s="86"/>
      <c r="E16" s="86"/>
      <c r="F16" s="86"/>
      <c r="G16" s="87"/>
      <c r="H16" s="88"/>
      <c r="I16" s="88"/>
      <c r="J16" s="88"/>
      <c r="K16" s="89"/>
      <c r="L16" s="91"/>
      <c r="M16" s="90">
        <v>3000</v>
      </c>
      <c r="N16" s="79" t="s">
        <v>10</v>
      </c>
      <c r="O16" s="71"/>
      <c r="P16" s="71"/>
    </row>
    <row r="17" spans="1:16" x14ac:dyDescent="0.25">
      <c r="A17" s="79" t="s">
        <v>11</v>
      </c>
      <c r="B17" s="92"/>
      <c r="C17" s="92"/>
      <c r="D17" s="92"/>
      <c r="E17" s="92"/>
      <c r="F17" s="92"/>
      <c r="G17" s="92"/>
      <c r="H17" s="93"/>
      <c r="I17" s="93"/>
      <c r="J17" s="93"/>
      <c r="K17" s="89"/>
      <c r="L17" s="91"/>
      <c r="M17" s="90">
        <v>1500</v>
      </c>
      <c r="N17" s="79" t="s">
        <v>11</v>
      </c>
      <c r="O17" s="71"/>
      <c r="P17" s="71"/>
    </row>
    <row r="18" spans="1:16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89"/>
      <c r="L18" s="91"/>
      <c r="M18" s="94">
        <v>49555</v>
      </c>
      <c r="N18" s="75" t="s">
        <v>64</v>
      </c>
      <c r="O18" s="71"/>
      <c r="P18" s="71"/>
    </row>
  </sheetData>
  <mergeCells count="12">
    <mergeCell ref="A3:A5"/>
    <mergeCell ref="C3:D3"/>
    <mergeCell ref="E3:F3"/>
    <mergeCell ref="L3:L4"/>
    <mergeCell ref="M3:M4"/>
    <mergeCell ref="N3:N5"/>
    <mergeCell ref="E4:E5"/>
    <mergeCell ref="K3:K4"/>
    <mergeCell ref="G3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zoomScaleNormal="100" workbookViewId="0">
      <selection activeCell="G12" sqref="G12"/>
    </sheetView>
  </sheetViews>
  <sheetFormatPr defaultRowHeight="15" x14ac:dyDescent="0.25"/>
  <cols>
    <col min="3" max="3" width="11" customWidth="1"/>
    <col min="4" max="4" width="7.7109375" customWidth="1"/>
    <col min="5" max="5" width="11.5703125" customWidth="1"/>
    <col min="6" max="6" width="8.140625" customWidth="1"/>
    <col min="7" max="7" width="11.28515625" customWidth="1"/>
    <col min="8" max="8" width="6.85546875" customWidth="1"/>
    <col min="9" max="9" width="11.42578125" customWidth="1"/>
    <col min="10" max="10" width="6.85546875" customWidth="1"/>
    <col min="11" max="11" width="10.42578125" customWidth="1"/>
    <col min="12" max="12" width="7.7109375" customWidth="1"/>
    <col min="13" max="13" width="11.140625" customWidth="1"/>
    <col min="14" max="14" width="7.42578125" customWidth="1"/>
    <col min="15" max="15" width="11.7109375" customWidth="1"/>
    <col min="16" max="16" width="7.7109375" customWidth="1"/>
    <col min="17" max="17" width="12.140625" customWidth="1"/>
    <col min="18" max="18" width="11.140625" customWidth="1"/>
  </cols>
  <sheetData>
    <row r="2" spans="1:19" x14ac:dyDescent="0.25">
      <c r="G2" s="159" t="s">
        <v>38</v>
      </c>
      <c r="H2" s="159"/>
      <c r="I2" s="159"/>
      <c r="J2" s="159"/>
      <c r="K2" s="159"/>
      <c r="L2" s="159"/>
      <c r="M2" s="159"/>
    </row>
    <row r="3" spans="1:19" x14ac:dyDescent="0.25">
      <c r="G3" s="1"/>
      <c r="H3" s="1"/>
      <c r="I3" s="1"/>
      <c r="J3" s="1"/>
      <c r="K3" s="1"/>
      <c r="L3" s="1"/>
      <c r="M3" s="1"/>
    </row>
    <row r="4" spans="1:19" x14ac:dyDescent="0.25">
      <c r="E4" s="2" t="s">
        <v>23</v>
      </c>
      <c r="F4" s="2" t="s">
        <v>27</v>
      </c>
      <c r="G4" s="160" t="s">
        <v>28</v>
      </c>
      <c r="H4" s="160"/>
      <c r="I4" s="160"/>
      <c r="J4" s="160"/>
      <c r="K4" s="20"/>
    </row>
    <row r="5" spans="1:19" x14ac:dyDescent="0.25">
      <c r="E5" s="3">
        <v>171696</v>
      </c>
      <c r="F5" s="3">
        <v>49554</v>
      </c>
      <c r="G5" s="161">
        <f>E5-F5</f>
        <v>122142</v>
      </c>
      <c r="H5" s="161"/>
      <c r="I5" s="161"/>
      <c r="J5" s="161"/>
      <c r="K5" s="21"/>
      <c r="L5" s="7"/>
      <c r="M5" s="7"/>
      <c r="N5" s="7"/>
      <c r="O5" s="7"/>
    </row>
    <row r="8" spans="1:19" x14ac:dyDescent="0.25">
      <c r="A8" s="13"/>
      <c r="B8" s="13"/>
      <c r="C8" s="9" t="s">
        <v>12</v>
      </c>
      <c r="D8" s="9" t="s">
        <v>29</v>
      </c>
      <c r="E8" s="9" t="s">
        <v>17</v>
      </c>
      <c r="F8" s="9" t="s">
        <v>29</v>
      </c>
      <c r="G8" s="9" t="s">
        <v>18</v>
      </c>
      <c r="H8" s="9" t="s">
        <v>29</v>
      </c>
      <c r="I8" s="9" t="s">
        <v>14</v>
      </c>
      <c r="J8" s="9" t="s">
        <v>29</v>
      </c>
      <c r="K8" s="9" t="s">
        <v>15</v>
      </c>
      <c r="L8" s="9" t="s">
        <v>29</v>
      </c>
      <c r="M8" s="9" t="s">
        <v>39</v>
      </c>
      <c r="N8" s="9" t="s">
        <v>29</v>
      </c>
      <c r="O8" s="9" t="s">
        <v>16</v>
      </c>
      <c r="P8" s="9" t="s">
        <v>29</v>
      </c>
      <c r="Q8" s="9" t="s">
        <v>19</v>
      </c>
      <c r="R8" s="9" t="s">
        <v>29</v>
      </c>
    </row>
    <row r="9" spans="1:19" ht="15.75" thickBot="1" x14ac:dyDescent="0.3">
      <c r="A9" s="16">
        <v>2017</v>
      </c>
      <c r="B9" s="10" t="s">
        <v>24</v>
      </c>
      <c r="C9" s="24">
        <v>22612</v>
      </c>
      <c r="D9" s="11"/>
      <c r="E9" s="24">
        <v>36309</v>
      </c>
      <c r="F9" s="11"/>
      <c r="G9" s="24">
        <v>14820</v>
      </c>
      <c r="H9" s="11"/>
      <c r="I9" s="24">
        <v>22000</v>
      </c>
      <c r="J9" s="11"/>
      <c r="K9" s="24">
        <v>25084</v>
      </c>
      <c r="L9" s="11"/>
      <c r="M9" s="24">
        <v>6400</v>
      </c>
      <c r="N9" s="11"/>
      <c r="O9" s="24">
        <v>18000</v>
      </c>
      <c r="P9" s="11"/>
      <c r="Q9" s="24">
        <v>8275</v>
      </c>
      <c r="R9" s="11"/>
    </row>
    <row r="10" spans="1:19" ht="15.75" thickBot="1" x14ac:dyDescent="0.3">
      <c r="A10" s="53">
        <v>2018</v>
      </c>
      <c r="B10" s="22" t="s">
        <v>24</v>
      </c>
      <c r="C10" s="26">
        <v>15000</v>
      </c>
      <c r="D10" s="27">
        <f>(C10-C9)/C9</f>
        <v>-0.33663541482398729</v>
      </c>
      <c r="E10" s="26">
        <v>23842</v>
      </c>
      <c r="F10" s="27">
        <f>(E10-E9)/E9</f>
        <v>-0.34335839598997492</v>
      </c>
      <c r="G10" s="26">
        <v>14000</v>
      </c>
      <c r="H10" s="27">
        <f>(G10-G9)/G9</f>
        <v>-5.5330634278002701E-2</v>
      </c>
      <c r="I10" s="28">
        <v>18000</v>
      </c>
      <c r="J10" s="27">
        <f>(I10-I9)/I9</f>
        <v>-0.18181818181818182</v>
      </c>
      <c r="K10" s="28">
        <v>19000</v>
      </c>
      <c r="L10" s="27">
        <f>(K10-K9)/K9</f>
        <v>-0.24254504863658108</v>
      </c>
      <c r="M10" s="28">
        <v>4500</v>
      </c>
      <c r="N10" s="27">
        <f>(M10-M9)/M9</f>
        <v>-0.296875</v>
      </c>
      <c r="O10" s="28">
        <v>14000</v>
      </c>
      <c r="P10" s="27">
        <f>(O10-O9)/O9</f>
        <v>-0.22222222222222221</v>
      </c>
      <c r="Q10" s="28">
        <v>4800</v>
      </c>
      <c r="R10" s="23">
        <f>(Q10-Q9)/Q9</f>
        <v>-0.41993957703927492</v>
      </c>
    </row>
    <row r="11" spans="1:19" ht="15.75" x14ac:dyDescent="0.25">
      <c r="A11" s="158" t="s">
        <v>47</v>
      </c>
      <c r="B11" s="158"/>
      <c r="C11" s="25">
        <v>71300</v>
      </c>
      <c r="D11" s="12" t="str">
        <f>IF(C10&gt;C11,"+","-")</f>
        <v>-</v>
      </c>
      <c r="E11" s="25">
        <v>72000</v>
      </c>
      <c r="F11" s="12" t="str">
        <f>IF(E10&gt;E11,"+","-")</f>
        <v>-</v>
      </c>
      <c r="G11" s="25">
        <v>31000</v>
      </c>
      <c r="H11" s="12" t="str">
        <f>IF(G10&gt;G11,"+","-")</f>
        <v>-</v>
      </c>
      <c r="I11" s="25">
        <v>44773</v>
      </c>
      <c r="J11" s="12" t="str">
        <f>IF(I10&gt;I11,"+","-")</f>
        <v>-</v>
      </c>
      <c r="K11" s="25">
        <v>50000</v>
      </c>
      <c r="L11" s="12" t="str">
        <f>IF(K10&gt;K11,"+","-")</f>
        <v>-</v>
      </c>
      <c r="M11" s="25">
        <v>14500</v>
      </c>
      <c r="N11" s="12" t="str">
        <f>IF(M10&gt;M11,"+","-")</f>
        <v>-</v>
      </c>
      <c r="O11" s="25">
        <v>58390</v>
      </c>
      <c r="P11" s="12" t="str">
        <f>IF(O10&gt;O11,"+","-")</f>
        <v>-</v>
      </c>
      <c r="Q11" s="25">
        <v>19000</v>
      </c>
      <c r="R11" s="12" t="str">
        <f>IF(Q10&gt;Q11,"+","-")</f>
        <v>-</v>
      </c>
    </row>
    <row r="12" spans="1:19" x14ac:dyDescent="0.25">
      <c r="A12" s="158" t="s">
        <v>46</v>
      </c>
      <c r="B12" s="158"/>
      <c r="C12" s="11">
        <v>30900</v>
      </c>
      <c r="D12" s="57"/>
      <c r="E12" s="11">
        <v>46688</v>
      </c>
      <c r="F12" s="57"/>
      <c r="G12" s="11">
        <v>27806</v>
      </c>
      <c r="H12" s="57"/>
      <c r="I12" s="11">
        <v>22470</v>
      </c>
      <c r="J12" s="57"/>
      <c r="K12" s="11">
        <v>30000</v>
      </c>
      <c r="L12" s="57"/>
      <c r="M12" s="11">
        <v>6150</v>
      </c>
      <c r="N12" s="57"/>
      <c r="O12" s="11">
        <v>18000</v>
      </c>
      <c r="P12" s="57"/>
      <c r="Q12" s="11">
        <v>6650</v>
      </c>
      <c r="R12" s="57">
        <f>SUM(C12,E12,G12,I12,K12,M12,O12,Q12)</f>
        <v>188664</v>
      </c>
      <c r="S12" s="14"/>
    </row>
    <row r="13" spans="1:19" ht="15.75" thickBot="1" x14ac:dyDescent="0.3">
      <c r="A13" s="172" t="s">
        <v>48</v>
      </c>
      <c r="B13" s="172"/>
      <c r="C13" s="58">
        <f>(C10/C12)*100%</f>
        <v>0.4854368932038835</v>
      </c>
      <c r="D13" s="58"/>
      <c r="E13" s="58">
        <f t="shared" ref="E13:Q13" si="0">(E10/E12)*100%</f>
        <v>0.51066655243317338</v>
      </c>
      <c r="F13" s="58"/>
      <c r="G13" s="58">
        <f t="shared" si="0"/>
        <v>0.50348845572897938</v>
      </c>
      <c r="H13" s="58"/>
      <c r="I13" s="58">
        <f t="shared" si="0"/>
        <v>0.8010680907877169</v>
      </c>
      <c r="J13" s="58"/>
      <c r="K13" s="58">
        <f t="shared" si="0"/>
        <v>0.6333333333333333</v>
      </c>
      <c r="L13" s="58"/>
      <c r="M13" s="58">
        <f t="shared" si="0"/>
        <v>0.73170731707317072</v>
      </c>
      <c r="N13" s="58"/>
      <c r="O13" s="58">
        <f t="shared" si="0"/>
        <v>0.77777777777777779</v>
      </c>
      <c r="P13" s="58"/>
      <c r="Q13" s="58">
        <f t="shared" si="0"/>
        <v>0.72180451127819545</v>
      </c>
      <c r="R13" s="58"/>
    </row>
    <row r="14" spans="1:19" x14ac:dyDescent="0.25">
      <c r="C14" s="55" t="s">
        <v>13</v>
      </c>
      <c r="D14" s="55" t="s">
        <v>29</v>
      </c>
      <c r="E14" s="55" t="s">
        <v>20</v>
      </c>
      <c r="F14" s="55" t="s">
        <v>29</v>
      </c>
      <c r="G14" s="55" t="s">
        <v>21</v>
      </c>
      <c r="H14" s="55" t="s">
        <v>29</v>
      </c>
      <c r="I14" s="55" t="s">
        <v>22</v>
      </c>
      <c r="J14" s="55" t="s">
        <v>29</v>
      </c>
      <c r="K14" s="56" t="s">
        <v>23</v>
      </c>
      <c r="L14" s="8"/>
    </row>
    <row r="15" spans="1:19" ht="15.75" thickBot="1" x14ac:dyDescent="0.3">
      <c r="A15" s="16">
        <v>2017</v>
      </c>
      <c r="B15" s="10" t="s">
        <v>24</v>
      </c>
      <c r="C15" s="24">
        <v>3500</v>
      </c>
      <c r="D15" s="11"/>
      <c r="E15" s="24">
        <v>3000</v>
      </c>
      <c r="F15" s="11"/>
      <c r="G15" s="24">
        <v>3000</v>
      </c>
      <c r="H15" s="11"/>
      <c r="I15" s="24">
        <v>2500</v>
      </c>
      <c r="J15" s="11"/>
      <c r="K15" s="29">
        <f>SUM(C9,E9,G9,I9,K9,M9,O9,Q9,C15,E15,G15,I15)</f>
        <v>165500</v>
      </c>
      <c r="L15" s="8" t="s">
        <v>45</v>
      </c>
      <c r="Q15" s="15"/>
    </row>
    <row r="16" spans="1:19" ht="15.75" thickBot="1" x14ac:dyDescent="0.3">
      <c r="A16" s="17">
        <v>2018</v>
      </c>
      <c r="B16" s="22" t="s">
        <v>24</v>
      </c>
      <c r="C16" s="26">
        <v>2500</v>
      </c>
      <c r="D16" s="27">
        <f>(C16-C15)/C15</f>
        <v>-0.2857142857142857</v>
      </c>
      <c r="E16" s="54">
        <v>2000</v>
      </c>
      <c r="F16" s="27">
        <f>(E16-E15)/E15</f>
        <v>-0.33333333333333331</v>
      </c>
      <c r="G16" s="54">
        <v>3000</v>
      </c>
      <c r="H16" s="27">
        <f t="shared" ref="H16:J16" si="1">(G16-G15)/G15</f>
        <v>0</v>
      </c>
      <c r="I16" s="54">
        <v>1500</v>
      </c>
      <c r="J16" s="27">
        <f t="shared" si="1"/>
        <v>-0.4</v>
      </c>
      <c r="K16" s="31">
        <f>SUM(C10,E10,G10,I10,K10,M10,O10,Q10,C16,E16,G16,I16)</f>
        <v>122142</v>
      </c>
      <c r="L16" s="8">
        <f>G5-K16</f>
        <v>0</v>
      </c>
    </row>
    <row r="17" spans="1:11" ht="15.75" x14ac:dyDescent="0.25">
      <c r="A17" s="158" t="s">
        <v>30</v>
      </c>
      <c r="B17" s="158"/>
      <c r="C17" s="25">
        <v>4615</v>
      </c>
      <c r="D17" s="12" t="str">
        <f>IF(C16&gt;C17,"+","-")</f>
        <v>-</v>
      </c>
      <c r="E17" s="25">
        <v>3000</v>
      </c>
      <c r="F17" s="32" t="str">
        <f>IF(E16&gt;E17,"+","-")</f>
        <v>-</v>
      </c>
      <c r="G17" s="25">
        <v>24000</v>
      </c>
      <c r="H17" s="12" t="str">
        <f>IF(G16&gt;G17,"+","-")</f>
        <v>-</v>
      </c>
      <c r="I17" s="25">
        <v>2770</v>
      </c>
      <c r="J17" s="12" t="str">
        <f>IF(I16&gt;I17,"+","-")</f>
        <v>-</v>
      </c>
      <c r="K17" s="30">
        <f>SUM(C11,E11,G11,I11,K11,M11,O11,Q11,C17,E17,G17,I17)</f>
        <v>395348</v>
      </c>
    </row>
  </sheetData>
  <mergeCells count="7">
    <mergeCell ref="A11:B11"/>
    <mergeCell ref="A17:B17"/>
    <mergeCell ref="G2:M2"/>
    <mergeCell ref="G4:J4"/>
    <mergeCell ref="G5:J5"/>
    <mergeCell ref="A12:B12"/>
    <mergeCell ref="A13:B13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Skaičiuoklė 2019</vt:lpstr>
      <vt:lpstr>2019m. </vt:lpstr>
      <vt:lpstr>Finansavimas</vt:lpstr>
      <vt:lpstr>SKAIČIUOKLĖ 2018</vt:lpstr>
      <vt:lpstr>2018m.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2019-01-20T10:30:21Z</dcterms:modified>
</cp:coreProperties>
</file>